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1cb2d2c9d09773a0/Masaüstü/"/>
    </mc:Choice>
  </mc:AlternateContent>
  <xr:revisionPtr revIDLastSave="117" documentId="11_C51568FD12EB3B5E8BCD0D754C017BBE211C9865" xr6:coauthVersionLast="47" xr6:coauthVersionMax="47" xr10:uidLastSave="{095B0FAA-DB0B-4A1B-AA24-4163F66A583B}"/>
  <bookViews>
    <workbookView xWindow="-108" yWindow="-108" windowWidth="23256" windowHeight="12456" firstSheet="1" activeTab="6" xr2:uid="{00000000-000D-0000-FFFF-FFFF00000000}"/>
  </bookViews>
  <sheets>
    <sheet name="OCAK" sheetId="1" r:id="rId1"/>
    <sheet name="ŞUBAT" sheetId="2" r:id="rId2"/>
    <sheet name="MART" sheetId="3" r:id="rId3"/>
    <sheet name="NİSAN" sheetId="4" r:id="rId4"/>
    <sheet name="Sayfa1" sheetId="6" r:id="rId5"/>
    <sheet name="MAYIS" sheetId="5" r:id="rId6"/>
    <sheet name="HAZİRAN" sheetId="7" r:id="rId7"/>
  </sheets>
  <externalReferences>
    <externalReference r:id="rId8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2" i="7" l="1"/>
  <c r="R12" i="7"/>
  <c r="Q12" i="7"/>
  <c r="N27" i="7"/>
  <c r="O27" i="7" s="1"/>
  <c r="P27" i="7" s="1"/>
  <c r="K12" i="7"/>
  <c r="L12" i="7" s="1"/>
  <c r="M12" i="7" s="1"/>
  <c r="H12" i="7"/>
  <c r="I12" i="7" s="1"/>
  <c r="J12" i="7" s="1"/>
  <c r="E12" i="7"/>
  <c r="F12" i="7" s="1"/>
  <c r="G12" i="7" s="1"/>
  <c r="B12" i="7"/>
  <c r="N11" i="7"/>
  <c r="U11" i="7"/>
  <c r="R11" i="7"/>
  <c r="Q11" i="7"/>
  <c r="K11" i="7"/>
  <c r="H11" i="7"/>
  <c r="E11" i="7"/>
  <c r="B11" i="7"/>
  <c r="C11" i="7" s="1"/>
  <c r="D11" i="7" s="1"/>
  <c r="R10" i="7"/>
  <c r="Q10" i="7"/>
  <c r="K10" i="7"/>
  <c r="H10" i="7"/>
  <c r="E10" i="7"/>
  <c r="B10" i="7"/>
  <c r="R5" i="7"/>
  <c r="Q5" i="7"/>
  <c r="K5" i="7"/>
  <c r="H5" i="7"/>
  <c r="E5" i="7"/>
  <c r="B5" i="7"/>
  <c r="U4" i="7"/>
  <c r="R4" i="7"/>
  <c r="N4" i="7"/>
  <c r="K4" i="7"/>
  <c r="H4" i="7"/>
  <c r="I4" i="7" s="1"/>
  <c r="J4" i="7" s="1"/>
  <c r="E4" i="7"/>
  <c r="F4" i="7" s="1"/>
  <c r="G4" i="7" s="1"/>
  <c r="B4" i="7"/>
  <c r="C4" i="7" s="1"/>
  <c r="D4" i="7" s="1"/>
  <c r="S6" i="7"/>
  <c r="R6" i="7"/>
  <c r="K6" i="7"/>
  <c r="L6" i="7" s="1"/>
  <c r="M6" i="7" s="1"/>
  <c r="H6" i="7"/>
  <c r="I6" i="7" s="1"/>
  <c r="J6" i="7" s="1"/>
  <c r="E6" i="7"/>
  <c r="F6" i="7" s="1"/>
  <c r="G6" i="7" s="1"/>
  <c r="B6" i="7"/>
  <c r="R9" i="7"/>
  <c r="Q9" i="7"/>
  <c r="K9" i="7"/>
  <c r="L9" i="7" s="1"/>
  <c r="M9" i="7" s="1"/>
  <c r="H9" i="7"/>
  <c r="I9" i="7" s="1"/>
  <c r="J9" i="7" s="1"/>
  <c r="E9" i="7"/>
  <c r="F9" i="7" s="1"/>
  <c r="G9" i="7" s="1"/>
  <c r="B9" i="7"/>
  <c r="R8" i="7"/>
  <c r="Q8" i="7"/>
  <c r="K8" i="7"/>
  <c r="H8" i="7"/>
  <c r="E8" i="7"/>
  <c r="B8" i="7"/>
  <c r="K7" i="7"/>
  <c r="L7" i="7" s="1"/>
  <c r="M7" i="7" s="1"/>
  <c r="R7" i="7"/>
  <c r="Q7" i="7"/>
  <c r="H7" i="7"/>
  <c r="I7" i="7" s="1"/>
  <c r="J7" i="7" s="1"/>
  <c r="E7" i="7"/>
  <c r="F7" i="7" s="1"/>
  <c r="G7" i="7" s="1"/>
  <c r="B7" i="7"/>
  <c r="C7" i="7" s="1"/>
  <c r="D7" i="7" s="1"/>
  <c r="R3" i="7"/>
  <c r="K3" i="7"/>
  <c r="L3" i="7" s="1"/>
  <c r="M3" i="7" s="1"/>
  <c r="H3" i="7"/>
  <c r="E3" i="7"/>
  <c r="B3" i="7"/>
  <c r="B27" i="7" s="1"/>
  <c r="C27" i="7" s="1"/>
  <c r="D27" i="7" s="1"/>
  <c r="O17" i="7"/>
  <c r="P17" i="7" s="1"/>
  <c r="O18" i="7"/>
  <c r="P18" i="7" s="1"/>
  <c r="I17" i="7"/>
  <c r="J17" i="7" s="1"/>
  <c r="F16" i="7"/>
  <c r="G16" i="7" s="1"/>
  <c r="F17" i="7"/>
  <c r="G17" i="7" s="1"/>
  <c r="C5" i="7"/>
  <c r="D5" i="7" s="1"/>
  <c r="C6" i="7"/>
  <c r="D6" i="7" s="1"/>
  <c r="C8" i="7"/>
  <c r="D8" i="7" s="1"/>
  <c r="C9" i="7"/>
  <c r="D9" i="7" s="1"/>
  <c r="C10" i="7"/>
  <c r="D10" i="7" s="1"/>
  <c r="C12" i="7"/>
  <c r="D12" i="7" s="1"/>
  <c r="C13" i="7"/>
  <c r="D13" i="7" s="1"/>
  <c r="C14" i="7"/>
  <c r="D14" i="7" s="1"/>
  <c r="C15" i="7"/>
  <c r="C16" i="7"/>
  <c r="D16" i="7" s="1"/>
  <c r="C17" i="7"/>
  <c r="D17" i="7" s="1"/>
  <c r="C18" i="7"/>
  <c r="D18" i="7" s="1"/>
  <c r="C19" i="7"/>
  <c r="C20" i="7"/>
  <c r="D20" i="7" s="1"/>
  <c r="C21" i="7"/>
  <c r="D21" i="7" s="1"/>
  <c r="C22" i="7"/>
  <c r="D22" i="7" s="1"/>
  <c r="C23" i="7"/>
  <c r="D23" i="7" s="1"/>
  <c r="C24" i="7"/>
  <c r="D24" i="7" s="1"/>
  <c r="O18" i="5"/>
  <c r="O19" i="5"/>
  <c r="O20" i="5"/>
  <c r="I20" i="5"/>
  <c r="J20" i="5" s="1"/>
  <c r="F20" i="5"/>
  <c r="G20" i="5" s="1"/>
  <c r="C20" i="5"/>
  <c r="D20" i="5" s="1"/>
  <c r="S31" i="7"/>
  <c r="O26" i="7"/>
  <c r="P26" i="7" s="1"/>
  <c r="L26" i="7"/>
  <c r="M26" i="7" s="1"/>
  <c r="I26" i="7"/>
  <c r="J26" i="7" s="1"/>
  <c r="F26" i="7"/>
  <c r="G26" i="7" s="1"/>
  <c r="C26" i="7"/>
  <c r="D26" i="7" s="1"/>
  <c r="O25" i="7"/>
  <c r="P25" i="7" s="1"/>
  <c r="L25" i="7"/>
  <c r="M25" i="7" s="1"/>
  <c r="I25" i="7"/>
  <c r="J25" i="7" s="1"/>
  <c r="F25" i="7"/>
  <c r="G25" i="7" s="1"/>
  <c r="C25" i="7"/>
  <c r="D25" i="7" s="1"/>
  <c r="O24" i="7"/>
  <c r="P24" i="7" s="1"/>
  <c r="L24" i="7"/>
  <c r="M24" i="7" s="1"/>
  <c r="I24" i="7"/>
  <c r="J24" i="7" s="1"/>
  <c r="F24" i="7"/>
  <c r="G24" i="7" s="1"/>
  <c r="O23" i="7"/>
  <c r="P23" i="7" s="1"/>
  <c r="L23" i="7"/>
  <c r="M23" i="7" s="1"/>
  <c r="I23" i="7"/>
  <c r="J23" i="7" s="1"/>
  <c r="F23" i="7"/>
  <c r="G23" i="7" s="1"/>
  <c r="O22" i="7"/>
  <c r="P22" i="7" s="1"/>
  <c r="L22" i="7"/>
  <c r="M22" i="7" s="1"/>
  <c r="I22" i="7"/>
  <c r="J22" i="7" s="1"/>
  <c r="F22" i="7"/>
  <c r="G22" i="7" s="1"/>
  <c r="O21" i="7"/>
  <c r="P21" i="7" s="1"/>
  <c r="L21" i="7"/>
  <c r="M21" i="7" s="1"/>
  <c r="I21" i="7"/>
  <c r="J21" i="7" s="1"/>
  <c r="F21" i="7"/>
  <c r="G21" i="7" s="1"/>
  <c r="O20" i="7"/>
  <c r="P20" i="7" s="1"/>
  <c r="L20" i="7"/>
  <c r="M20" i="7" s="1"/>
  <c r="I20" i="7"/>
  <c r="J20" i="7" s="1"/>
  <c r="F20" i="7"/>
  <c r="G20" i="7" s="1"/>
  <c r="O19" i="7"/>
  <c r="P19" i="7" s="1"/>
  <c r="L19" i="7"/>
  <c r="M19" i="7" s="1"/>
  <c r="I19" i="7"/>
  <c r="J19" i="7" s="1"/>
  <c r="F19" i="7"/>
  <c r="G19" i="7" s="1"/>
  <c r="D19" i="7"/>
  <c r="L18" i="7"/>
  <c r="M18" i="7" s="1"/>
  <c r="I18" i="7"/>
  <c r="J18" i="7" s="1"/>
  <c r="F18" i="7"/>
  <c r="G18" i="7" s="1"/>
  <c r="L17" i="7"/>
  <c r="M17" i="7" s="1"/>
  <c r="O16" i="7"/>
  <c r="P16" i="7" s="1"/>
  <c r="L16" i="7"/>
  <c r="M16" i="7" s="1"/>
  <c r="I16" i="7"/>
  <c r="J16" i="7" s="1"/>
  <c r="O15" i="7"/>
  <c r="P15" i="7" s="1"/>
  <c r="L15" i="7"/>
  <c r="M15" i="7" s="1"/>
  <c r="I15" i="7"/>
  <c r="J15" i="7" s="1"/>
  <c r="F15" i="7"/>
  <c r="G15" i="7" s="1"/>
  <c r="D15" i="7"/>
  <c r="O14" i="7"/>
  <c r="P14" i="7" s="1"/>
  <c r="L14" i="7"/>
  <c r="M14" i="7" s="1"/>
  <c r="I14" i="7"/>
  <c r="J14" i="7" s="1"/>
  <c r="F14" i="7"/>
  <c r="G14" i="7" s="1"/>
  <c r="O13" i="7"/>
  <c r="P13" i="7" s="1"/>
  <c r="L13" i="7"/>
  <c r="M13" i="7" s="1"/>
  <c r="I13" i="7"/>
  <c r="J13" i="7" s="1"/>
  <c r="F13" i="7"/>
  <c r="G13" i="7" s="1"/>
  <c r="O11" i="7"/>
  <c r="P11" i="7" s="1"/>
  <c r="L11" i="7"/>
  <c r="M11" i="7" s="1"/>
  <c r="I11" i="7"/>
  <c r="J11" i="7" s="1"/>
  <c r="F11" i="7"/>
  <c r="G11" i="7" s="1"/>
  <c r="O10" i="7"/>
  <c r="P10" i="7" s="1"/>
  <c r="L10" i="7"/>
  <c r="M10" i="7" s="1"/>
  <c r="I10" i="7"/>
  <c r="J10" i="7" s="1"/>
  <c r="F10" i="7"/>
  <c r="G10" i="7" s="1"/>
  <c r="O9" i="7"/>
  <c r="P9" i="7" s="1"/>
  <c r="T27" i="7"/>
  <c r="O8" i="7"/>
  <c r="P8" i="7" s="1"/>
  <c r="L8" i="7"/>
  <c r="M8" i="7" s="1"/>
  <c r="I8" i="7"/>
  <c r="J8" i="7" s="1"/>
  <c r="F8" i="7"/>
  <c r="G8" i="7" s="1"/>
  <c r="O7" i="7"/>
  <c r="P7" i="7" s="1"/>
  <c r="O6" i="7"/>
  <c r="P6" i="7" s="1"/>
  <c r="O5" i="7"/>
  <c r="P5" i="7" s="1"/>
  <c r="L5" i="7"/>
  <c r="M5" i="7" s="1"/>
  <c r="I5" i="7"/>
  <c r="J5" i="7" s="1"/>
  <c r="F5" i="7"/>
  <c r="G5" i="7" s="1"/>
  <c r="O4" i="7"/>
  <c r="P4" i="7" s="1"/>
  <c r="L4" i="7"/>
  <c r="M4" i="7" s="1"/>
  <c r="O3" i="7"/>
  <c r="P3" i="7" s="1"/>
  <c r="S29" i="5"/>
  <c r="R29" i="5"/>
  <c r="Q29" i="5"/>
  <c r="N29" i="5"/>
  <c r="K29" i="5"/>
  <c r="H29" i="5"/>
  <c r="E29" i="5"/>
  <c r="B29" i="5"/>
  <c r="U28" i="5"/>
  <c r="R28" i="5"/>
  <c r="Q28" i="5"/>
  <c r="K28" i="5"/>
  <c r="H28" i="5"/>
  <c r="E28" i="5"/>
  <c r="B28" i="5"/>
  <c r="R19" i="5"/>
  <c r="Q19" i="5"/>
  <c r="K19" i="5"/>
  <c r="H19" i="5"/>
  <c r="I19" i="5" s="1"/>
  <c r="J19" i="5" s="1"/>
  <c r="E19" i="5"/>
  <c r="B19" i="5"/>
  <c r="C19" i="5"/>
  <c r="D19" i="5" s="1"/>
  <c r="F19" i="5"/>
  <c r="G19" i="5"/>
  <c r="L19" i="5"/>
  <c r="M19" i="5"/>
  <c r="P19" i="5"/>
  <c r="U27" i="5"/>
  <c r="R27" i="5"/>
  <c r="Q27" i="5"/>
  <c r="K27" i="5"/>
  <c r="H27" i="5"/>
  <c r="E27" i="5"/>
  <c r="B27" i="5"/>
  <c r="O26" i="5"/>
  <c r="P26" i="5" s="1"/>
  <c r="L26" i="5"/>
  <c r="M26" i="5" s="1"/>
  <c r="I26" i="5"/>
  <c r="J26" i="5" s="1"/>
  <c r="F26" i="5"/>
  <c r="G26" i="5" s="1"/>
  <c r="C26" i="5"/>
  <c r="D26" i="5" s="1"/>
  <c r="U25" i="5"/>
  <c r="S25" i="5"/>
  <c r="R25" i="5"/>
  <c r="O25" i="5"/>
  <c r="P25" i="5" s="1"/>
  <c r="K25" i="5"/>
  <c r="L25" i="5" s="1"/>
  <c r="M25" i="5" s="1"/>
  <c r="H25" i="5"/>
  <c r="I25" i="5" s="1"/>
  <c r="J25" i="5" s="1"/>
  <c r="E25" i="5"/>
  <c r="F25" i="5" s="1"/>
  <c r="G25" i="5" s="1"/>
  <c r="B25" i="5"/>
  <c r="C25" i="5" s="1"/>
  <c r="D25" i="5" s="1"/>
  <c r="R24" i="5"/>
  <c r="N24" i="5"/>
  <c r="O24" i="5" s="1"/>
  <c r="P24" i="5" s="1"/>
  <c r="K24" i="5"/>
  <c r="L24" i="5" s="1"/>
  <c r="M24" i="5" s="1"/>
  <c r="H24" i="5"/>
  <c r="I24" i="5" s="1"/>
  <c r="J24" i="5" s="1"/>
  <c r="E24" i="5"/>
  <c r="F24" i="5" s="1"/>
  <c r="G24" i="5" s="1"/>
  <c r="B24" i="5"/>
  <c r="C24" i="5" s="1"/>
  <c r="D24" i="5" s="1"/>
  <c r="U23" i="5"/>
  <c r="R23" i="5"/>
  <c r="O23" i="5"/>
  <c r="P23" i="5" s="1"/>
  <c r="L23" i="5"/>
  <c r="M23" i="5" s="1"/>
  <c r="I23" i="5"/>
  <c r="J23" i="5" s="1"/>
  <c r="F23" i="5"/>
  <c r="G23" i="5" s="1"/>
  <c r="B23" i="5"/>
  <c r="C23" i="5" s="1"/>
  <c r="D23" i="5" s="1"/>
  <c r="U22" i="5"/>
  <c r="S22" i="5"/>
  <c r="R22" i="5"/>
  <c r="Q22" i="5"/>
  <c r="O22" i="5"/>
  <c r="P22" i="5" s="1"/>
  <c r="K22" i="5"/>
  <c r="L22" i="5" s="1"/>
  <c r="M22" i="5" s="1"/>
  <c r="H22" i="5"/>
  <c r="I22" i="5" s="1"/>
  <c r="J22" i="5" s="1"/>
  <c r="E22" i="5"/>
  <c r="F22" i="5" s="1"/>
  <c r="G22" i="5" s="1"/>
  <c r="B22" i="5"/>
  <c r="C22" i="5" s="1"/>
  <c r="D22" i="5" s="1"/>
  <c r="R21" i="5"/>
  <c r="Q21" i="5"/>
  <c r="O21" i="5"/>
  <c r="P21" i="5" s="1"/>
  <c r="K21" i="5"/>
  <c r="L21" i="5" s="1"/>
  <c r="M21" i="5" s="1"/>
  <c r="H21" i="5"/>
  <c r="I21" i="5" s="1"/>
  <c r="J21" i="5" s="1"/>
  <c r="E21" i="5"/>
  <c r="F21" i="5" s="1"/>
  <c r="G21" i="5" s="1"/>
  <c r="B21" i="5"/>
  <c r="C21" i="5" s="1"/>
  <c r="D21" i="5" s="1"/>
  <c r="P20" i="5"/>
  <c r="L20" i="5"/>
  <c r="M20" i="5" s="1"/>
  <c r="O12" i="7" l="1"/>
  <c r="P12" i="7" s="1"/>
  <c r="C3" i="7"/>
  <c r="D3" i="7" s="1"/>
  <c r="Q27" i="7"/>
  <c r="K27" i="7"/>
  <c r="L27" i="7" s="1"/>
  <c r="M27" i="7" s="1"/>
  <c r="R27" i="7"/>
  <c r="U27" i="7"/>
  <c r="E27" i="7"/>
  <c r="F27" i="7" s="1"/>
  <c r="G27" i="7" s="1"/>
  <c r="F3" i="7"/>
  <c r="G3" i="7" s="1"/>
  <c r="H27" i="7"/>
  <c r="I27" i="7" s="1"/>
  <c r="J27" i="7" s="1"/>
  <c r="I3" i="7"/>
  <c r="J3" i="7" s="1"/>
  <c r="S34" i="5"/>
  <c r="U18" i="5"/>
  <c r="R18" i="5"/>
  <c r="Q18" i="5"/>
  <c r="K18" i="5"/>
  <c r="H18" i="5"/>
  <c r="E18" i="5"/>
  <c r="B18" i="5"/>
  <c r="U17" i="5"/>
  <c r="R17" i="5"/>
  <c r="Q17" i="5"/>
  <c r="N17" i="5"/>
  <c r="K17" i="5"/>
  <c r="H17" i="5"/>
  <c r="E17" i="5"/>
  <c r="B17" i="5"/>
  <c r="E16" i="5"/>
  <c r="R16" i="5"/>
  <c r="Q16" i="5"/>
  <c r="K16" i="5"/>
  <c r="H16" i="5"/>
  <c r="B16" i="5"/>
  <c r="U15" i="5" l="1"/>
  <c r="R15" i="5"/>
  <c r="B15" i="5"/>
  <c r="U14" i="5"/>
  <c r="R14" i="5"/>
  <c r="Q14" i="5"/>
  <c r="K14" i="5"/>
  <c r="H14" i="5"/>
  <c r="E14" i="5"/>
  <c r="B14" i="5"/>
  <c r="R13" i="5"/>
  <c r="Q13" i="5"/>
  <c r="K13" i="5"/>
  <c r="H13" i="5"/>
  <c r="E13" i="5"/>
  <c r="B13" i="5"/>
  <c r="R12" i="5" l="1"/>
  <c r="K12" i="5"/>
  <c r="H12" i="5"/>
  <c r="E12" i="5"/>
  <c r="B12" i="5"/>
  <c r="T11" i="5"/>
  <c r="U11" i="5"/>
  <c r="S11" i="5"/>
  <c r="R11" i="5"/>
  <c r="Q11" i="5"/>
  <c r="K11" i="5"/>
  <c r="H11" i="5"/>
  <c r="E11" i="5"/>
  <c r="B11" i="5"/>
  <c r="U10" i="5"/>
  <c r="R10" i="5"/>
  <c r="K10" i="5"/>
  <c r="H10" i="5"/>
  <c r="E10" i="5"/>
  <c r="B10" i="5"/>
  <c r="U9" i="5" l="1"/>
  <c r="R9" i="5"/>
  <c r="K9" i="5"/>
  <c r="H9" i="5"/>
  <c r="E9" i="5"/>
  <c r="B9" i="5"/>
  <c r="U8" i="5"/>
  <c r="S8" i="5"/>
  <c r="R8" i="5"/>
  <c r="K8" i="5"/>
  <c r="H8" i="5"/>
  <c r="E8" i="5"/>
  <c r="B8" i="5"/>
  <c r="R7" i="5"/>
  <c r="Q7" i="5"/>
  <c r="K7" i="5"/>
  <c r="H7" i="5"/>
  <c r="E7" i="5"/>
  <c r="B7" i="5"/>
  <c r="B9" i="6" l="1"/>
  <c r="E8" i="6"/>
  <c r="E10" i="6" s="1"/>
  <c r="E9" i="6"/>
  <c r="L9" i="6"/>
  <c r="M9" i="6" s="1"/>
  <c r="J9" i="6"/>
  <c r="F9" i="6"/>
  <c r="D9" i="6"/>
  <c r="D8" i="6"/>
  <c r="K9" i="6"/>
  <c r="K7" i="6" s="1"/>
  <c r="J3" i="6"/>
  <c r="I3" i="6"/>
  <c r="K3" i="6" s="1"/>
  <c r="W7" i="4"/>
  <c r="R7" i="4"/>
  <c r="H8" i="4"/>
  <c r="W17" i="4"/>
  <c r="W18" i="4" s="1"/>
  <c r="R3" i="4"/>
  <c r="Q30" i="4"/>
  <c r="O30" i="4"/>
  <c r="P30" i="4" s="1"/>
  <c r="L30" i="4"/>
  <c r="M30" i="4" s="1"/>
  <c r="I30" i="4"/>
  <c r="J30" i="4" s="1"/>
  <c r="F30" i="4"/>
  <c r="G30" i="4" s="1"/>
  <c r="C30" i="4"/>
  <c r="D30" i="4" s="1"/>
  <c r="I9" i="6" l="1"/>
  <c r="H9" i="6"/>
  <c r="I11" i="6"/>
  <c r="D18" i="6"/>
  <c r="D17" i="6"/>
  <c r="D10" i="6"/>
  <c r="U5" i="5" l="1"/>
  <c r="S5" i="5"/>
  <c r="R5" i="5"/>
  <c r="Q5" i="5"/>
  <c r="N5" i="5"/>
  <c r="O5" i="5" s="1"/>
  <c r="P5" i="5" s="1"/>
  <c r="K5" i="5"/>
  <c r="L5" i="5" s="1"/>
  <c r="M5" i="5" s="1"/>
  <c r="H5" i="5"/>
  <c r="I5" i="5" s="1"/>
  <c r="J5" i="5" s="1"/>
  <c r="E5" i="5"/>
  <c r="F5" i="5" s="1"/>
  <c r="G5" i="5" s="1"/>
  <c r="B5" i="5"/>
  <c r="C5" i="5" s="1"/>
  <c r="D5" i="5" s="1"/>
  <c r="R4" i="5"/>
  <c r="U4" i="5"/>
  <c r="N4" i="5"/>
  <c r="O4" i="5" s="1"/>
  <c r="P4" i="5" s="1"/>
  <c r="K4" i="5"/>
  <c r="L4" i="5" s="1"/>
  <c r="M4" i="5" s="1"/>
  <c r="H4" i="5"/>
  <c r="I4" i="5" s="1"/>
  <c r="J4" i="5" s="1"/>
  <c r="E4" i="5"/>
  <c r="F4" i="5" s="1"/>
  <c r="G4" i="5" s="1"/>
  <c r="O6" i="5"/>
  <c r="P6" i="5"/>
  <c r="O7" i="5"/>
  <c r="P7" i="5" s="1"/>
  <c r="O8" i="5"/>
  <c r="P8" i="5" s="1"/>
  <c r="O9" i="5"/>
  <c r="P9" i="5" s="1"/>
  <c r="O10" i="5"/>
  <c r="P10" i="5" s="1"/>
  <c r="O11" i="5"/>
  <c r="P11" i="5"/>
  <c r="O12" i="5"/>
  <c r="P12" i="5" s="1"/>
  <c r="O13" i="5"/>
  <c r="P13" i="5" s="1"/>
  <c r="O14" i="5"/>
  <c r="P14" i="5" s="1"/>
  <c r="O15" i="5"/>
  <c r="P15" i="5"/>
  <c r="O16" i="5"/>
  <c r="P16" i="5" s="1"/>
  <c r="O17" i="5"/>
  <c r="P17" i="5"/>
  <c r="P18" i="5"/>
  <c r="O27" i="5"/>
  <c r="P27" i="5" s="1"/>
  <c r="O28" i="5"/>
  <c r="P28" i="5" s="1"/>
  <c r="O29" i="5"/>
  <c r="P29" i="5" s="1"/>
  <c r="L6" i="5"/>
  <c r="M6" i="5" s="1"/>
  <c r="L7" i="5"/>
  <c r="M7" i="5" s="1"/>
  <c r="L8" i="5"/>
  <c r="M8" i="5" s="1"/>
  <c r="L9" i="5"/>
  <c r="M9" i="5" s="1"/>
  <c r="L10" i="5"/>
  <c r="M10" i="5" s="1"/>
  <c r="L11" i="5"/>
  <c r="M11" i="5" s="1"/>
  <c r="L12" i="5"/>
  <c r="M12" i="5"/>
  <c r="L13" i="5"/>
  <c r="M13" i="5" s="1"/>
  <c r="L14" i="5"/>
  <c r="M14" i="5" s="1"/>
  <c r="L15" i="5"/>
  <c r="M15" i="5" s="1"/>
  <c r="L16" i="5"/>
  <c r="M16" i="5" s="1"/>
  <c r="L17" i="5"/>
  <c r="M17" i="5" s="1"/>
  <c r="L18" i="5"/>
  <c r="M18" i="5" s="1"/>
  <c r="L27" i="5"/>
  <c r="M27" i="5" s="1"/>
  <c r="L28" i="5"/>
  <c r="M28" i="5" s="1"/>
  <c r="L29" i="5"/>
  <c r="M29" i="5" s="1"/>
  <c r="I6" i="5"/>
  <c r="J6" i="5" s="1"/>
  <c r="I7" i="5"/>
  <c r="J7" i="5"/>
  <c r="I8" i="5"/>
  <c r="J8" i="5"/>
  <c r="I9" i="5"/>
  <c r="J9" i="5" s="1"/>
  <c r="I10" i="5"/>
  <c r="J10" i="5" s="1"/>
  <c r="I11" i="5"/>
  <c r="J11" i="5"/>
  <c r="I12" i="5"/>
  <c r="J12" i="5" s="1"/>
  <c r="I13" i="5"/>
  <c r="J13" i="5" s="1"/>
  <c r="I14" i="5"/>
  <c r="J14" i="5" s="1"/>
  <c r="I15" i="5"/>
  <c r="J15" i="5" s="1"/>
  <c r="I16" i="5"/>
  <c r="J16" i="5"/>
  <c r="I17" i="5"/>
  <c r="J17" i="5" s="1"/>
  <c r="I18" i="5"/>
  <c r="J18" i="5" s="1"/>
  <c r="I27" i="5"/>
  <c r="J27" i="5" s="1"/>
  <c r="I28" i="5"/>
  <c r="J28" i="5" s="1"/>
  <c r="I29" i="5"/>
  <c r="J29" i="5" s="1"/>
  <c r="F6" i="5"/>
  <c r="G6" i="5" s="1"/>
  <c r="F7" i="5"/>
  <c r="G7" i="5" s="1"/>
  <c r="F8" i="5"/>
  <c r="G8" i="5" s="1"/>
  <c r="F9" i="5"/>
  <c r="G9" i="5" s="1"/>
  <c r="F10" i="5"/>
  <c r="G10" i="5" s="1"/>
  <c r="F11" i="5"/>
  <c r="G11" i="5" s="1"/>
  <c r="F12" i="5"/>
  <c r="G12" i="5"/>
  <c r="F13" i="5"/>
  <c r="G13" i="5" s="1"/>
  <c r="F14" i="5"/>
  <c r="G14" i="5" s="1"/>
  <c r="F15" i="5"/>
  <c r="G15" i="5" s="1"/>
  <c r="F16" i="5"/>
  <c r="G16" i="5" s="1"/>
  <c r="F17" i="5"/>
  <c r="G17" i="5" s="1"/>
  <c r="F18" i="5"/>
  <c r="G18" i="5"/>
  <c r="F27" i="5"/>
  <c r="G27" i="5" s="1"/>
  <c r="F28" i="5"/>
  <c r="G28" i="5" s="1"/>
  <c r="F29" i="5"/>
  <c r="G29" i="5" s="1"/>
  <c r="C6" i="5"/>
  <c r="D6" i="5" s="1"/>
  <c r="C7" i="5"/>
  <c r="D7" i="5" s="1"/>
  <c r="C8" i="5"/>
  <c r="D8" i="5" s="1"/>
  <c r="C9" i="5"/>
  <c r="D9" i="5" s="1"/>
  <c r="C10" i="5"/>
  <c r="D10" i="5" s="1"/>
  <c r="C11" i="5"/>
  <c r="D11" i="5" s="1"/>
  <c r="C12" i="5"/>
  <c r="D12" i="5" s="1"/>
  <c r="C13" i="5"/>
  <c r="D13" i="5" s="1"/>
  <c r="C14" i="5"/>
  <c r="D14" i="5" s="1"/>
  <c r="C15" i="5"/>
  <c r="D15" i="5" s="1"/>
  <c r="C16" i="5"/>
  <c r="D16" i="5" s="1"/>
  <c r="C17" i="5"/>
  <c r="D17" i="5" s="1"/>
  <c r="C18" i="5"/>
  <c r="D18" i="5" s="1"/>
  <c r="C27" i="5"/>
  <c r="D27" i="5" s="1"/>
  <c r="C28" i="5"/>
  <c r="D28" i="5" s="1"/>
  <c r="C29" i="5"/>
  <c r="D29" i="5" s="1"/>
  <c r="B4" i="5"/>
  <c r="C4" i="5" s="1"/>
  <c r="D4" i="5" s="1"/>
  <c r="R3" i="5" l="1"/>
  <c r="Q3" i="5"/>
  <c r="K3" i="5"/>
  <c r="L3" i="5" s="1"/>
  <c r="M3" i="5" s="1"/>
  <c r="H3" i="5"/>
  <c r="I3" i="5" s="1"/>
  <c r="J3" i="5" s="1"/>
  <c r="E3" i="5"/>
  <c r="F3" i="5" s="1"/>
  <c r="G3" i="5" s="1"/>
  <c r="O3" i="5"/>
  <c r="P3" i="5" s="1"/>
  <c r="B3" i="5"/>
  <c r="C3" i="5" s="1"/>
  <c r="D3" i="5" s="1"/>
  <c r="B30" i="5"/>
  <c r="C30" i="5" s="1"/>
  <c r="D30" i="5" s="1"/>
  <c r="T30" i="5"/>
  <c r="U30" i="5" l="1"/>
  <c r="H30" i="5"/>
  <c r="I30" i="5" s="1"/>
  <c r="J30" i="5" s="1"/>
  <c r="K30" i="5"/>
  <c r="L30" i="5" s="1"/>
  <c r="M30" i="5" s="1"/>
  <c r="R30" i="5"/>
  <c r="N30" i="5"/>
  <c r="O30" i="5" s="1"/>
  <c r="P30" i="5" s="1"/>
  <c r="E30" i="5"/>
  <c r="F30" i="5" s="1"/>
  <c r="G30" i="5" s="1"/>
  <c r="Q30" i="5"/>
  <c r="S27" i="4"/>
  <c r="S28" i="4" s="1"/>
  <c r="S31" i="4" s="1"/>
  <c r="R27" i="4"/>
  <c r="Q27" i="4"/>
  <c r="K27" i="4"/>
  <c r="H27" i="4"/>
  <c r="E27" i="4"/>
  <c r="B27" i="4"/>
  <c r="R26" i="4" l="1"/>
  <c r="K26" i="4"/>
  <c r="H26" i="4"/>
  <c r="E26" i="4"/>
  <c r="B26" i="4"/>
  <c r="R25" i="4" l="1"/>
  <c r="N25" i="4"/>
  <c r="K25" i="4"/>
  <c r="H25" i="4"/>
  <c r="E25" i="4"/>
  <c r="B25" i="4"/>
  <c r="U24" i="4"/>
  <c r="R24" i="4"/>
  <c r="Q24" i="4"/>
  <c r="N24" i="4"/>
  <c r="K24" i="4"/>
  <c r="H24" i="4"/>
  <c r="E24" i="4"/>
  <c r="B24" i="4"/>
  <c r="R23" i="4" l="1"/>
  <c r="U23" i="4"/>
  <c r="Q23" i="4"/>
  <c r="K23" i="4"/>
  <c r="H23" i="4"/>
  <c r="E23" i="4"/>
  <c r="B23" i="4"/>
  <c r="R22" i="4"/>
  <c r="Q22" i="4"/>
  <c r="K22" i="4"/>
  <c r="H22" i="4"/>
  <c r="E22" i="4"/>
  <c r="B22" i="4"/>
  <c r="U21" i="4" l="1"/>
  <c r="R21" i="4"/>
  <c r="Q21" i="4"/>
  <c r="K21" i="4"/>
  <c r="H21" i="4"/>
  <c r="E21" i="4"/>
  <c r="B21" i="4"/>
  <c r="U20" i="4"/>
  <c r="R20" i="4"/>
  <c r="Q20" i="4"/>
  <c r="K20" i="4"/>
  <c r="H20" i="4"/>
  <c r="E20" i="4"/>
  <c r="B20" i="4"/>
  <c r="R19" i="4" l="1"/>
  <c r="K19" i="4"/>
  <c r="H19" i="4"/>
  <c r="E19" i="4"/>
  <c r="U18" i="4"/>
  <c r="R18" i="4"/>
  <c r="Q18" i="4"/>
  <c r="N18" i="4"/>
  <c r="K18" i="4"/>
  <c r="H18" i="4"/>
  <c r="E18" i="4"/>
  <c r="B18" i="4"/>
  <c r="R17" i="4"/>
  <c r="B17" i="4"/>
  <c r="U16" i="4" l="1"/>
  <c r="R16" i="4"/>
  <c r="Q16" i="4"/>
  <c r="K16" i="4"/>
  <c r="H16" i="4"/>
  <c r="E16" i="4"/>
  <c r="B16" i="4"/>
  <c r="U15" i="4" l="1"/>
  <c r="R15" i="4"/>
  <c r="Q15" i="4"/>
  <c r="K15" i="4"/>
  <c r="H15" i="4"/>
  <c r="E15" i="4"/>
  <c r="B15" i="4"/>
  <c r="R14" i="4" l="1"/>
  <c r="K14" i="4"/>
  <c r="H14" i="4"/>
  <c r="E14" i="4"/>
  <c r="B14" i="4"/>
  <c r="R13" i="4" l="1"/>
  <c r="K13" i="4"/>
  <c r="E13" i="4"/>
  <c r="U12" i="4"/>
  <c r="T12" i="4"/>
  <c r="T28" i="4" s="1"/>
  <c r="T31" i="4" s="1"/>
  <c r="R12" i="4"/>
  <c r="Q12" i="4"/>
  <c r="N12" i="4"/>
  <c r="K12" i="4"/>
  <c r="H12" i="4"/>
  <c r="E12" i="4"/>
  <c r="B12" i="4"/>
  <c r="U11" i="4"/>
  <c r="R11" i="4"/>
  <c r="Q11" i="4"/>
  <c r="K11" i="4"/>
  <c r="H11" i="4"/>
  <c r="E11" i="4"/>
  <c r="B11" i="4"/>
  <c r="U10" i="4" l="1"/>
  <c r="R10" i="4"/>
  <c r="K10" i="4"/>
  <c r="H10" i="4"/>
  <c r="E10" i="4"/>
  <c r="B10" i="4"/>
  <c r="U9" i="4"/>
  <c r="R9" i="4"/>
  <c r="Q9" i="4"/>
  <c r="K9" i="4"/>
  <c r="H9" i="4"/>
  <c r="E9" i="4"/>
  <c r="B9" i="4"/>
  <c r="N7" i="4" l="1"/>
  <c r="O7" i="4" s="1"/>
  <c r="P7" i="4" s="1"/>
  <c r="K7" i="4"/>
  <c r="H7" i="4"/>
  <c r="I7" i="4" s="1"/>
  <c r="J7" i="4" s="1"/>
  <c r="E7" i="4"/>
  <c r="B7" i="4"/>
  <c r="C7" i="4" s="1"/>
  <c r="D7" i="4" s="1"/>
  <c r="U6" i="4"/>
  <c r="U28" i="4" s="1"/>
  <c r="U31" i="4" s="1"/>
  <c r="R6" i="4"/>
  <c r="Q6" i="4"/>
  <c r="K6" i="4"/>
  <c r="L6" i="4" s="1"/>
  <c r="M6" i="4" s="1"/>
  <c r="H6" i="4"/>
  <c r="I6" i="4" s="1"/>
  <c r="J6" i="4" s="1"/>
  <c r="E6" i="4"/>
  <c r="F6" i="4" s="1"/>
  <c r="G6" i="4" s="1"/>
  <c r="B6" i="4"/>
  <c r="C6" i="4" s="1"/>
  <c r="D6" i="4" s="1"/>
  <c r="R5" i="4"/>
  <c r="K5" i="4"/>
  <c r="L5" i="4" s="1"/>
  <c r="M5" i="4" s="1"/>
  <c r="H5" i="4"/>
  <c r="I5" i="4" s="1"/>
  <c r="J5" i="4" s="1"/>
  <c r="E5" i="4"/>
  <c r="F5" i="4" s="1"/>
  <c r="G5" i="4" s="1"/>
  <c r="B5" i="4"/>
  <c r="C5" i="4" s="1"/>
  <c r="D5" i="4" s="1"/>
  <c r="B4" i="4"/>
  <c r="C4" i="4" s="1"/>
  <c r="D4" i="4" s="1"/>
  <c r="Q3" i="4"/>
  <c r="K3" i="4"/>
  <c r="H3" i="4"/>
  <c r="I3" i="4" s="1"/>
  <c r="J3" i="4" s="1"/>
  <c r="E3" i="4"/>
  <c r="F3" i="4" s="1"/>
  <c r="G3" i="4" s="1"/>
  <c r="B3" i="4"/>
  <c r="C3" i="4" s="1"/>
  <c r="D3" i="4" s="1"/>
  <c r="C26" i="4"/>
  <c r="D26" i="4" s="1"/>
  <c r="F26" i="4"/>
  <c r="G26" i="4" s="1"/>
  <c r="I26" i="4"/>
  <c r="J26" i="4" s="1"/>
  <c r="L26" i="4"/>
  <c r="M26" i="4" s="1"/>
  <c r="O26" i="4"/>
  <c r="P26" i="4"/>
  <c r="O27" i="4"/>
  <c r="P27" i="4" s="1"/>
  <c r="L27" i="4"/>
  <c r="M27" i="4" s="1"/>
  <c r="I27" i="4"/>
  <c r="J27" i="4" s="1"/>
  <c r="F27" i="4"/>
  <c r="G27" i="4" s="1"/>
  <c r="C27" i="4"/>
  <c r="D27" i="4" s="1"/>
  <c r="O25" i="4"/>
  <c r="P25" i="4" s="1"/>
  <c r="L25" i="4"/>
  <c r="M25" i="4" s="1"/>
  <c r="I25" i="4"/>
  <c r="J25" i="4" s="1"/>
  <c r="F25" i="4"/>
  <c r="G25" i="4" s="1"/>
  <c r="C25" i="4"/>
  <c r="D25" i="4" s="1"/>
  <c r="O24" i="4"/>
  <c r="P24" i="4" s="1"/>
  <c r="L24" i="4"/>
  <c r="M24" i="4" s="1"/>
  <c r="I24" i="4"/>
  <c r="J24" i="4" s="1"/>
  <c r="F24" i="4"/>
  <c r="G24" i="4" s="1"/>
  <c r="C24" i="4"/>
  <c r="D24" i="4" s="1"/>
  <c r="O23" i="4"/>
  <c r="P23" i="4" s="1"/>
  <c r="L23" i="4"/>
  <c r="M23" i="4" s="1"/>
  <c r="I23" i="4"/>
  <c r="J23" i="4" s="1"/>
  <c r="F23" i="4"/>
  <c r="G23" i="4" s="1"/>
  <c r="C23" i="4"/>
  <c r="D23" i="4" s="1"/>
  <c r="O22" i="4"/>
  <c r="P22" i="4" s="1"/>
  <c r="L22" i="4"/>
  <c r="M22" i="4" s="1"/>
  <c r="I22" i="4"/>
  <c r="J22" i="4" s="1"/>
  <c r="F22" i="4"/>
  <c r="G22" i="4" s="1"/>
  <c r="C22" i="4"/>
  <c r="D22" i="4" s="1"/>
  <c r="O21" i="4"/>
  <c r="P21" i="4" s="1"/>
  <c r="L21" i="4"/>
  <c r="M21" i="4" s="1"/>
  <c r="I21" i="4"/>
  <c r="J21" i="4" s="1"/>
  <c r="F21" i="4"/>
  <c r="G21" i="4" s="1"/>
  <c r="C21" i="4"/>
  <c r="D21" i="4" s="1"/>
  <c r="O20" i="4"/>
  <c r="P20" i="4" s="1"/>
  <c r="L20" i="4"/>
  <c r="M20" i="4" s="1"/>
  <c r="I20" i="4"/>
  <c r="J20" i="4" s="1"/>
  <c r="F20" i="4"/>
  <c r="G20" i="4" s="1"/>
  <c r="C20" i="4"/>
  <c r="D20" i="4" s="1"/>
  <c r="O19" i="4"/>
  <c r="P19" i="4" s="1"/>
  <c r="L19" i="4"/>
  <c r="M19" i="4" s="1"/>
  <c r="I19" i="4"/>
  <c r="J19" i="4" s="1"/>
  <c r="F19" i="4"/>
  <c r="G19" i="4" s="1"/>
  <c r="C19" i="4"/>
  <c r="D19" i="4" s="1"/>
  <c r="O18" i="4"/>
  <c r="P18" i="4" s="1"/>
  <c r="L18" i="4"/>
  <c r="M18" i="4" s="1"/>
  <c r="I18" i="4"/>
  <c r="J18" i="4" s="1"/>
  <c r="F18" i="4"/>
  <c r="G18" i="4" s="1"/>
  <c r="C18" i="4"/>
  <c r="D18" i="4" s="1"/>
  <c r="O17" i="4"/>
  <c r="P17" i="4" s="1"/>
  <c r="L17" i="4"/>
  <c r="M17" i="4" s="1"/>
  <c r="I17" i="4"/>
  <c r="J17" i="4" s="1"/>
  <c r="F17" i="4"/>
  <c r="G17" i="4" s="1"/>
  <c r="C17" i="4"/>
  <c r="D17" i="4" s="1"/>
  <c r="O16" i="4"/>
  <c r="P16" i="4" s="1"/>
  <c r="L16" i="4"/>
  <c r="M16" i="4" s="1"/>
  <c r="I16" i="4"/>
  <c r="J16" i="4" s="1"/>
  <c r="F16" i="4"/>
  <c r="G16" i="4" s="1"/>
  <c r="C16" i="4"/>
  <c r="D16" i="4" s="1"/>
  <c r="O15" i="4"/>
  <c r="P15" i="4" s="1"/>
  <c r="L15" i="4"/>
  <c r="M15" i="4" s="1"/>
  <c r="I15" i="4"/>
  <c r="J15" i="4" s="1"/>
  <c r="F15" i="4"/>
  <c r="G15" i="4" s="1"/>
  <c r="C15" i="4"/>
  <c r="D15" i="4" s="1"/>
  <c r="O14" i="4"/>
  <c r="P14" i="4" s="1"/>
  <c r="L14" i="4"/>
  <c r="M14" i="4" s="1"/>
  <c r="I14" i="4"/>
  <c r="J14" i="4" s="1"/>
  <c r="F14" i="4"/>
  <c r="G14" i="4" s="1"/>
  <c r="C14" i="4"/>
  <c r="D14" i="4" s="1"/>
  <c r="O13" i="4"/>
  <c r="P13" i="4" s="1"/>
  <c r="L13" i="4"/>
  <c r="M13" i="4" s="1"/>
  <c r="I13" i="4"/>
  <c r="J13" i="4" s="1"/>
  <c r="F13" i="4"/>
  <c r="G13" i="4" s="1"/>
  <c r="C13" i="4"/>
  <c r="D13" i="4" s="1"/>
  <c r="N28" i="4"/>
  <c r="O28" i="4" s="1"/>
  <c r="P28" i="4" s="1"/>
  <c r="L12" i="4"/>
  <c r="M12" i="4" s="1"/>
  <c r="I12" i="4"/>
  <c r="J12" i="4" s="1"/>
  <c r="F12" i="4"/>
  <c r="G12" i="4" s="1"/>
  <c r="C12" i="4"/>
  <c r="D12" i="4" s="1"/>
  <c r="O11" i="4"/>
  <c r="P11" i="4" s="1"/>
  <c r="L11" i="4"/>
  <c r="M11" i="4" s="1"/>
  <c r="I11" i="4"/>
  <c r="J11" i="4" s="1"/>
  <c r="F11" i="4"/>
  <c r="G11" i="4" s="1"/>
  <c r="C11" i="4"/>
  <c r="D11" i="4" s="1"/>
  <c r="O10" i="4"/>
  <c r="P10" i="4" s="1"/>
  <c r="L10" i="4"/>
  <c r="M10" i="4" s="1"/>
  <c r="I10" i="4"/>
  <c r="J10" i="4" s="1"/>
  <c r="F10" i="4"/>
  <c r="G10" i="4" s="1"/>
  <c r="C10" i="4"/>
  <c r="D10" i="4" s="1"/>
  <c r="O9" i="4"/>
  <c r="P9" i="4" s="1"/>
  <c r="L9" i="4"/>
  <c r="M9" i="4" s="1"/>
  <c r="I9" i="4"/>
  <c r="J9" i="4" s="1"/>
  <c r="F9" i="4"/>
  <c r="G9" i="4" s="1"/>
  <c r="C9" i="4"/>
  <c r="D9" i="4" s="1"/>
  <c r="O8" i="4"/>
  <c r="P8" i="4" s="1"/>
  <c r="L8" i="4"/>
  <c r="M8" i="4" s="1"/>
  <c r="I8" i="4"/>
  <c r="J8" i="4" s="1"/>
  <c r="F8" i="4"/>
  <c r="G8" i="4" s="1"/>
  <c r="C8" i="4"/>
  <c r="D8" i="4" s="1"/>
  <c r="L7" i="4"/>
  <c r="M7" i="4" s="1"/>
  <c r="O6" i="4"/>
  <c r="P6" i="4" s="1"/>
  <c r="O5" i="4"/>
  <c r="P5" i="4" s="1"/>
  <c r="O4" i="4"/>
  <c r="P4" i="4" s="1"/>
  <c r="L4" i="4"/>
  <c r="M4" i="4" s="1"/>
  <c r="I4" i="4"/>
  <c r="J4" i="4" s="1"/>
  <c r="F4" i="4"/>
  <c r="G4" i="4" s="1"/>
  <c r="O3" i="4"/>
  <c r="P3" i="4" s="1"/>
  <c r="Q28" i="4" l="1"/>
  <c r="Q31" i="4" s="1"/>
  <c r="R28" i="4"/>
  <c r="R31" i="4" s="1"/>
  <c r="E28" i="4"/>
  <c r="F28" i="4" s="1"/>
  <c r="G28" i="4" s="1"/>
  <c r="F7" i="4"/>
  <c r="G7" i="4" s="1"/>
  <c r="K28" i="4"/>
  <c r="L28" i="4" s="1"/>
  <c r="M28" i="4" s="1"/>
  <c r="L3" i="4"/>
  <c r="M3" i="4" s="1"/>
  <c r="B28" i="4"/>
  <c r="C28" i="4" s="1"/>
  <c r="D28" i="4" s="1"/>
  <c r="O12" i="4"/>
  <c r="P12" i="4" s="1"/>
  <c r="H28" i="4"/>
  <c r="I28" i="4" s="1"/>
  <c r="J28" i="4" s="1"/>
  <c r="R31" i="3"/>
  <c r="H31" i="3"/>
  <c r="B31" i="3"/>
  <c r="R30" i="3"/>
  <c r="B30" i="3"/>
  <c r="Q29" i="3" l="1"/>
  <c r="R29" i="3"/>
  <c r="N29" i="3"/>
  <c r="H29" i="3"/>
  <c r="B29" i="3"/>
  <c r="U28" i="3" l="1"/>
  <c r="R28" i="3"/>
  <c r="H28" i="3"/>
  <c r="B28" i="3"/>
  <c r="R27" i="3" l="1"/>
  <c r="Q27" i="3"/>
  <c r="H27" i="3"/>
  <c r="B27" i="3"/>
  <c r="R26" i="3"/>
  <c r="B26" i="3"/>
  <c r="U25" i="3" l="1"/>
  <c r="R25" i="3"/>
  <c r="H25" i="3"/>
  <c r="B25" i="3"/>
  <c r="C25" i="3" s="1"/>
  <c r="U24" i="3"/>
  <c r="R24" i="3"/>
  <c r="B24" i="3"/>
  <c r="R23" i="3"/>
  <c r="H23" i="3"/>
  <c r="B23" i="3"/>
  <c r="R22" i="3" l="1"/>
  <c r="B22" i="3"/>
  <c r="U21" i="3" l="1"/>
  <c r="R21" i="3"/>
  <c r="H21" i="3"/>
  <c r="B21" i="3"/>
  <c r="U20" i="3" l="1"/>
  <c r="R20" i="3"/>
  <c r="B20" i="3"/>
  <c r="R19" i="3" l="1"/>
  <c r="H19" i="3"/>
  <c r="B19" i="3"/>
  <c r="R18" i="3" l="1"/>
  <c r="Q18" i="3"/>
  <c r="H18" i="3"/>
  <c r="B18" i="3"/>
  <c r="U17" i="3"/>
  <c r="R17" i="3"/>
  <c r="Q17" i="3"/>
  <c r="H17" i="3"/>
  <c r="B17" i="3"/>
  <c r="R16" i="3" l="1"/>
  <c r="N16" i="3"/>
  <c r="H16" i="3"/>
  <c r="B16" i="3"/>
  <c r="R15" i="3" l="1"/>
  <c r="B15" i="3"/>
  <c r="U14" i="3" l="1"/>
  <c r="R14" i="3"/>
  <c r="N14" i="3"/>
  <c r="H14" i="3"/>
  <c r="B14" i="3"/>
  <c r="R13" i="3" l="1"/>
  <c r="H13" i="3"/>
  <c r="B13" i="3"/>
  <c r="R12" i="3"/>
  <c r="N12" i="3"/>
  <c r="H12" i="3"/>
  <c r="B12" i="3"/>
  <c r="R11" i="3" l="1"/>
  <c r="U11" i="3"/>
  <c r="R10" i="3"/>
  <c r="Q10" i="3"/>
  <c r="H10" i="3"/>
  <c r="B10" i="3"/>
  <c r="R9" i="3"/>
  <c r="Q9" i="3"/>
  <c r="B9" i="3"/>
  <c r="R8" i="3" l="1"/>
  <c r="H8" i="3"/>
  <c r="B8" i="3"/>
  <c r="R3" i="3" l="1"/>
  <c r="H3" i="3"/>
  <c r="B3" i="3"/>
  <c r="R7" i="3"/>
  <c r="B7" i="3"/>
  <c r="R6" i="3"/>
  <c r="B6" i="3"/>
  <c r="N3" i="3" l="1"/>
  <c r="C7" i="3" l="1"/>
  <c r="D7" i="3" s="1"/>
  <c r="F7" i="3"/>
  <c r="G7" i="3" s="1"/>
  <c r="I7" i="3"/>
  <c r="J7" i="3" s="1"/>
  <c r="L7" i="3"/>
  <c r="M7" i="3"/>
  <c r="O7" i="3"/>
  <c r="P7" i="3" s="1"/>
  <c r="C8" i="3"/>
  <c r="D8" i="3"/>
  <c r="F8" i="3"/>
  <c r="G8" i="3" s="1"/>
  <c r="I8" i="3"/>
  <c r="J8" i="3" s="1"/>
  <c r="L8" i="3"/>
  <c r="M8" i="3" s="1"/>
  <c r="O8" i="3"/>
  <c r="P8" i="3" s="1"/>
  <c r="C9" i="3"/>
  <c r="D9" i="3" s="1"/>
  <c r="F9" i="3"/>
  <c r="G9" i="3" s="1"/>
  <c r="I9" i="3"/>
  <c r="J9" i="3" s="1"/>
  <c r="L9" i="3"/>
  <c r="M9" i="3" s="1"/>
  <c r="O9" i="3"/>
  <c r="P9" i="3" s="1"/>
  <c r="C10" i="3"/>
  <c r="D10" i="3" s="1"/>
  <c r="F10" i="3"/>
  <c r="G10" i="3" s="1"/>
  <c r="I10" i="3"/>
  <c r="J10" i="3" s="1"/>
  <c r="L10" i="3"/>
  <c r="M10" i="3" s="1"/>
  <c r="O10" i="3"/>
  <c r="P10" i="3" s="1"/>
  <c r="C11" i="3"/>
  <c r="D11" i="3" s="1"/>
  <c r="F11" i="3"/>
  <c r="G11" i="3"/>
  <c r="I11" i="3"/>
  <c r="J11" i="3" s="1"/>
  <c r="L11" i="3"/>
  <c r="M11" i="3" s="1"/>
  <c r="O11" i="3"/>
  <c r="P11" i="3" s="1"/>
  <c r="C12" i="3"/>
  <c r="D12" i="3" s="1"/>
  <c r="F12" i="3"/>
  <c r="G12" i="3" s="1"/>
  <c r="I12" i="3"/>
  <c r="J12" i="3" s="1"/>
  <c r="L12" i="3"/>
  <c r="M12" i="3"/>
  <c r="O12" i="3"/>
  <c r="P12" i="3"/>
  <c r="C13" i="3"/>
  <c r="D13" i="3" s="1"/>
  <c r="F13" i="3"/>
  <c r="G13" i="3"/>
  <c r="I13" i="3"/>
  <c r="J13" i="3"/>
  <c r="L13" i="3"/>
  <c r="M13" i="3" s="1"/>
  <c r="O13" i="3"/>
  <c r="P13" i="3"/>
  <c r="C14" i="3"/>
  <c r="D14" i="3"/>
  <c r="F14" i="3"/>
  <c r="G14" i="3" s="1"/>
  <c r="I14" i="3"/>
  <c r="J14" i="3" s="1"/>
  <c r="L14" i="3"/>
  <c r="M14" i="3"/>
  <c r="O14" i="3"/>
  <c r="P14" i="3" s="1"/>
  <c r="C15" i="3"/>
  <c r="D15" i="3" s="1"/>
  <c r="F15" i="3"/>
  <c r="G15" i="3"/>
  <c r="I15" i="3"/>
  <c r="J15" i="3" s="1"/>
  <c r="L15" i="3"/>
  <c r="M15" i="3"/>
  <c r="O15" i="3"/>
  <c r="P15" i="3" s="1"/>
  <c r="C16" i="3"/>
  <c r="D16" i="3" s="1"/>
  <c r="F16" i="3"/>
  <c r="G16" i="3" s="1"/>
  <c r="I16" i="3"/>
  <c r="J16" i="3"/>
  <c r="L16" i="3"/>
  <c r="M16" i="3" s="1"/>
  <c r="O16" i="3"/>
  <c r="P16" i="3" s="1"/>
  <c r="C17" i="3"/>
  <c r="D17" i="3" s="1"/>
  <c r="F17" i="3"/>
  <c r="G17" i="3"/>
  <c r="I17" i="3"/>
  <c r="J17" i="3" s="1"/>
  <c r="L17" i="3"/>
  <c r="M17" i="3"/>
  <c r="O17" i="3"/>
  <c r="P17" i="3" s="1"/>
  <c r="T32" i="3"/>
  <c r="O31" i="3"/>
  <c r="P31" i="3" s="1"/>
  <c r="L31" i="3"/>
  <c r="M31" i="3" s="1"/>
  <c r="I31" i="3"/>
  <c r="J31" i="3" s="1"/>
  <c r="F31" i="3"/>
  <c r="G31" i="3" s="1"/>
  <c r="C31" i="3"/>
  <c r="D31" i="3" s="1"/>
  <c r="O30" i="3"/>
  <c r="P30" i="3" s="1"/>
  <c r="L30" i="3"/>
  <c r="M30" i="3" s="1"/>
  <c r="I30" i="3"/>
  <c r="J30" i="3" s="1"/>
  <c r="F30" i="3"/>
  <c r="G30" i="3" s="1"/>
  <c r="C30" i="3"/>
  <c r="D30" i="3" s="1"/>
  <c r="O29" i="3"/>
  <c r="P29" i="3" s="1"/>
  <c r="L29" i="3"/>
  <c r="M29" i="3" s="1"/>
  <c r="I29" i="3"/>
  <c r="J29" i="3" s="1"/>
  <c r="F29" i="3"/>
  <c r="G29" i="3" s="1"/>
  <c r="C29" i="3"/>
  <c r="D29" i="3" s="1"/>
  <c r="O28" i="3"/>
  <c r="P28" i="3" s="1"/>
  <c r="L28" i="3"/>
  <c r="M28" i="3" s="1"/>
  <c r="I28" i="3"/>
  <c r="J28" i="3" s="1"/>
  <c r="F28" i="3"/>
  <c r="G28" i="3" s="1"/>
  <c r="C28" i="3"/>
  <c r="D28" i="3" s="1"/>
  <c r="O27" i="3"/>
  <c r="P27" i="3" s="1"/>
  <c r="L27" i="3"/>
  <c r="M27" i="3" s="1"/>
  <c r="I27" i="3"/>
  <c r="J27" i="3" s="1"/>
  <c r="F27" i="3"/>
  <c r="G27" i="3" s="1"/>
  <c r="C27" i="3"/>
  <c r="D27" i="3" s="1"/>
  <c r="O26" i="3"/>
  <c r="P26" i="3" s="1"/>
  <c r="L26" i="3"/>
  <c r="M26" i="3" s="1"/>
  <c r="I26" i="3"/>
  <c r="J26" i="3" s="1"/>
  <c r="F26" i="3"/>
  <c r="G26" i="3" s="1"/>
  <c r="C26" i="3"/>
  <c r="D26" i="3" s="1"/>
  <c r="O25" i="3"/>
  <c r="P25" i="3" s="1"/>
  <c r="L25" i="3"/>
  <c r="M25" i="3" s="1"/>
  <c r="I25" i="3"/>
  <c r="J25" i="3" s="1"/>
  <c r="F25" i="3"/>
  <c r="G25" i="3" s="1"/>
  <c r="D25" i="3"/>
  <c r="O24" i="3"/>
  <c r="P24" i="3" s="1"/>
  <c r="L24" i="3"/>
  <c r="M24" i="3" s="1"/>
  <c r="I24" i="3"/>
  <c r="J24" i="3" s="1"/>
  <c r="F24" i="3"/>
  <c r="G24" i="3" s="1"/>
  <c r="C24" i="3"/>
  <c r="D24" i="3" s="1"/>
  <c r="O23" i="3"/>
  <c r="P23" i="3" s="1"/>
  <c r="L23" i="3"/>
  <c r="M23" i="3" s="1"/>
  <c r="I23" i="3"/>
  <c r="J23" i="3" s="1"/>
  <c r="F23" i="3"/>
  <c r="G23" i="3" s="1"/>
  <c r="C23" i="3"/>
  <c r="D23" i="3" s="1"/>
  <c r="O22" i="3"/>
  <c r="P22" i="3" s="1"/>
  <c r="L22" i="3"/>
  <c r="M22" i="3" s="1"/>
  <c r="I22" i="3"/>
  <c r="J22" i="3" s="1"/>
  <c r="F22" i="3"/>
  <c r="G22" i="3" s="1"/>
  <c r="C22" i="3"/>
  <c r="D22" i="3" s="1"/>
  <c r="O21" i="3"/>
  <c r="P21" i="3" s="1"/>
  <c r="L21" i="3"/>
  <c r="M21" i="3" s="1"/>
  <c r="I21" i="3"/>
  <c r="J21" i="3" s="1"/>
  <c r="F21" i="3"/>
  <c r="G21" i="3" s="1"/>
  <c r="C21" i="3"/>
  <c r="D21" i="3" s="1"/>
  <c r="O20" i="3"/>
  <c r="P20" i="3" s="1"/>
  <c r="L20" i="3"/>
  <c r="M20" i="3" s="1"/>
  <c r="I20" i="3"/>
  <c r="J20" i="3" s="1"/>
  <c r="F20" i="3"/>
  <c r="G20" i="3" s="1"/>
  <c r="C20" i="3"/>
  <c r="D20" i="3" s="1"/>
  <c r="O19" i="3"/>
  <c r="P19" i="3" s="1"/>
  <c r="L19" i="3"/>
  <c r="M19" i="3" s="1"/>
  <c r="I19" i="3"/>
  <c r="J19" i="3" s="1"/>
  <c r="F19" i="3"/>
  <c r="G19" i="3" s="1"/>
  <c r="C19" i="3"/>
  <c r="D19" i="3" s="1"/>
  <c r="O18" i="3"/>
  <c r="P18" i="3" s="1"/>
  <c r="L18" i="3"/>
  <c r="M18" i="3" s="1"/>
  <c r="I18" i="3"/>
  <c r="J18" i="3" s="1"/>
  <c r="F18" i="3"/>
  <c r="G18" i="3" s="1"/>
  <c r="C18" i="3"/>
  <c r="D18" i="3" s="1"/>
  <c r="O6" i="3"/>
  <c r="P6" i="3" s="1"/>
  <c r="L6" i="3"/>
  <c r="M6" i="3" s="1"/>
  <c r="I6" i="3"/>
  <c r="J6" i="3" s="1"/>
  <c r="F6" i="3"/>
  <c r="G6" i="3" s="1"/>
  <c r="C6" i="3"/>
  <c r="D6" i="3" s="1"/>
  <c r="O5" i="3"/>
  <c r="P5" i="3" s="1"/>
  <c r="L5" i="3"/>
  <c r="M5" i="3" s="1"/>
  <c r="I5" i="3"/>
  <c r="J5" i="3" s="1"/>
  <c r="F5" i="3"/>
  <c r="G5" i="3" s="1"/>
  <c r="C5" i="3"/>
  <c r="D5" i="3" s="1"/>
  <c r="O4" i="3"/>
  <c r="P4" i="3" s="1"/>
  <c r="L4" i="3"/>
  <c r="M4" i="3" s="1"/>
  <c r="I4" i="3"/>
  <c r="J4" i="3" s="1"/>
  <c r="C4" i="3"/>
  <c r="D4" i="3" s="1"/>
  <c r="O3" i="3"/>
  <c r="P3" i="3" s="1"/>
  <c r="L3" i="3"/>
  <c r="M3" i="3" s="1"/>
  <c r="H32" i="3"/>
  <c r="I32" i="3" s="1"/>
  <c r="J32" i="3" s="1"/>
  <c r="F3" i="3"/>
  <c r="G3" i="3" s="1"/>
  <c r="C3" i="3"/>
  <c r="D3" i="3" s="1"/>
  <c r="E32" i="3" l="1"/>
  <c r="F32" i="3" s="1"/>
  <c r="G32" i="3" s="1"/>
  <c r="F4" i="3"/>
  <c r="G4" i="3" s="1"/>
  <c r="I3" i="3"/>
  <c r="J3" i="3" s="1"/>
  <c r="U32" i="3"/>
  <c r="N32" i="3"/>
  <c r="O32" i="3" s="1"/>
  <c r="P32" i="3" s="1"/>
  <c r="R32" i="3"/>
  <c r="B32" i="3"/>
  <c r="C32" i="3" s="1"/>
  <c r="D32" i="3" s="1"/>
  <c r="Q32" i="3"/>
  <c r="K32" i="3"/>
  <c r="L32" i="3" s="1"/>
  <c r="M32" i="3" s="1"/>
  <c r="U28" i="2"/>
  <c r="R28" i="2"/>
  <c r="Q28" i="2"/>
  <c r="N28" i="2"/>
  <c r="K28" i="2"/>
  <c r="H28" i="2"/>
  <c r="E28" i="2"/>
  <c r="B28" i="2"/>
  <c r="U27" i="2"/>
  <c r="R27" i="2"/>
  <c r="K27" i="2"/>
  <c r="H27" i="2"/>
  <c r="E27" i="2"/>
  <c r="B27" i="2"/>
  <c r="U26" i="2" l="1"/>
  <c r="R26" i="2"/>
  <c r="Q26" i="2"/>
  <c r="K26" i="2"/>
  <c r="H26" i="2"/>
  <c r="E26" i="2"/>
  <c r="B26" i="2"/>
  <c r="R23" i="2" l="1"/>
  <c r="H23" i="2"/>
  <c r="B23" i="2"/>
  <c r="E23" i="2"/>
  <c r="Q23" i="2"/>
  <c r="N23" i="2"/>
  <c r="U25" i="2" l="1"/>
  <c r="R25" i="2"/>
  <c r="K25" i="2"/>
  <c r="H25" i="2"/>
  <c r="E25" i="2"/>
  <c r="B25" i="2"/>
  <c r="R14" i="2" l="1"/>
  <c r="K14" i="2"/>
  <c r="H14" i="2"/>
  <c r="E14" i="2"/>
  <c r="B14" i="2"/>
  <c r="R13" i="2"/>
  <c r="Q13" i="2"/>
  <c r="K13" i="2"/>
  <c r="E13" i="2"/>
  <c r="B13" i="2"/>
  <c r="U23" i="2" l="1"/>
  <c r="R24" i="2" l="1"/>
  <c r="K24" i="2"/>
  <c r="H24" i="2"/>
  <c r="E24" i="2"/>
  <c r="B24" i="2"/>
  <c r="K20" i="2" l="1"/>
  <c r="L20" i="2" s="1"/>
  <c r="U22" i="2"/>
  <c r="R22" i="2"/>
  <c r="N22" i="2"/>
  <c r="K22" i="2"/>
  <c r="H22" i="2"/>
  <c r="E22" i="2"/>
  <c r="B22" i="2"/>
  <c r="R21" i="2"/>
  <c r="K21" i="2"/>
  <c r="H21" i="2"/>
  <c r="E21" i="2"/>
  <c r="B21" i="2"/>
  <c r="U20" i="2"/>
  <c r="R20" i="2"/>
  <c r="H20" i="2"/>
  <c r="E20" i="2"/>
  <c r="B20" i="2"/>
  <c r="R19" i="2" l="1"/>
  <c r="K19" i="2"/>
  <c r="E19" i="2"/>
  <c r="B18" i="2" l="1"/>
  <c r="R17" i="2"/>
  <c r="Q17" i="2"/>
  <c r="K17" i="2"/>
  <c r="H17" i="2"/>
  <c r="E17" i="2"/>
  <c r="B17" i="2"/>
  <c r="U16" i="2"/>
  <c r="S16" i="2"/>
  <c r="R16" i="2"/>
  <c r="Q16" i="2"/>
  <c r="N16" i="2"/>
  <c r="K16" i="2"/>
  <c r="H16" i="2"/>
  <c r="E16" i="2"/>
  <c r="B16" i="2"/>
  <c r="R15" i="2"/>
  <c r="K15" i="2"/>
  <c r="E15" i="2"/>
  <c r="B15" i="2"/>
  <c r="Q3" i="2" l="1"/>
  <c r="E3" i="2"/>
  <c r="E12" i="2"/>
  <c r="B3" i="2"/>
  <c r="R11" i="2" l="1"/>
  <c r="K11" i="2"/>
  <c r="H11" i="2"/>
  <c r="E11" i="2"/>
  <c r="B11" i="2"/>
  <c r="C11" i="2" s="1"/>
  <c r="D11" i="2" s="1"/>
  <c r="I11" i="2"/>
  <c r="J11" i="2" s="1"/>
  <c r="L11" i="2"/>
  <c r="M11" i="2"/>
  <c r="O11" i="2"/>
  <c r="P11" i="2"/>
  <c r="F11" i="2"/>
  <c r="G11" i="2" s="1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R12" i="2"/>
  <c r="K12" i="2"/>
  <c r="H12" i="2"/>
  <c r="B12" i="2"/>
  <c r="U9" i="2" l="1"/>
  <c r="R9" i="2"/>
  <c r="Q9" i="2"/>
  <c r="K9" i="2"/>
  <c r="H9" i="2"/>
  <c r="E9" i="2"/>
  <c r="B9" i="2"/>
  <c r="R10" i="2" l="1"/>
  <c r="Q10" i="2"/>
  <c r="N10" i="2"/>
  <c r="K10" i="2"/>
  <c r="H10" i="2"/>
  <c r="E10" i="2"/>
  <c r="B10" i="2"/>
  <c r="U8" i="2"/>
  <c r="R8" i="2"/>
  <c r="Q8" i="2"/>
  <c r="K8" i="2"/>
  <c r="H8" i="2"/>
  <c r="E8" i="2"/>
  <c r="B8" i="2"/>
  <c r="N9" i="2" l="1"/>
  <c r="U6" i="2" l="1"/>
  <c r="R6" i="2"/>
  <c r="Q6" i="2"/>
  <c r="E6" i="2"/>
  <c r="B6" i="2"/>
  <c r="R7" i="2"/>
  <c r="K7" i="2"/>
  <c r="H7" i="2"/>
  <c r="E7" i="2"/>
  <c r="B7" i="2"/>
  <c r="S4" i="2" l="1"/>
  <c r="R4" i="2"/>
  <c r="N4" i="2"/>
  <c r="K4" i="2"/>
  <c r="H4" i="2"/>
  <c r="E4" i="2"/>
  <c r="B4" i="2"/>
  <c r="U3" i="2"/>
  <c r="R3" i="2"/>
  <c r="K3" i="2"/>
  <c r="H3" i="2"/>
  <c r="O28" i="2" l="1"/>
  <c r="P28" i="2" s="1"/>
  <c r="L28" i="2"/>
  <c r="M28" i="2" s="1"/>
  <c r="I28" i="2"/>
  <c r="J28" i="2" s="1"/>
  <c r="F28" i="2"/>
  <c r="G28" i="2" s="1"/>
  <c r="D28" i="2"/>
  <c r="O27" i="2"/>
  <c r="P27" i="2" s="1"/>
  <c r="L27" i="2"/>
  <c r="M27" i="2" s="1"/>
  <c r="I27" i="2"/>
  <c r="J27" i="2" s="1"/>
  <c r="F27" i="2"/>
  <c r="G27" i="2" s="1"/>
  <c r="D27" i="2"/>
  <c r="O26" i="2"/>
  <c r="P26" i="2" s="1"/>
  <c r="L26" i="2"/>
  <c r="M26" i="2" s="1"/>
  <c r="I26" i="2"/>
  <c r="J26" i="2" s="1"/>
  <c r="F26" i="2"/>
  <c r="G26" i="2" s="1"/>
  <c r="D26" i="2"/>
  <c r="O25" i="2"/>
  <c r="P25" i="2" s="1"/>
  <c r="L25" i="2"/>
  <c r="M25" i="2" s="1"/>
  <c r="I25" i="2"/>
  <c r="J25" i="2" s="1"/>
  <c r="F25" i="2"/>
  <c r="G25" i="2" s="1"/>
  <c r="D25" i="2"/>
  <c r="O24" i="2"/>
  <c r="P24" i="2" s="1"/>
  <c r="L24" i="2"/>
  <c r="M24" i="2" s="1"/>
  <c r="I24" i="2"/>
  <c r="J24" i="2" s="1"/>
  <c r="F24" i="2"/>
  <c r="G24" i="2" s="1"/>
  <c r="D24" i="2"/>
  <c r="O23" i="2"/>
  <c r="P23" i="2" s="1"/>
  <c r="L23" i="2"/>
  <c r="M23" i="2" s="1"/>
  <c r="I23" i="2"/>
  <c r="J23" i="2" s="1"/>
  <c r="F23" i="2"/>
  <c r="G23" i="2" s="1"/>
  <c r="D23" i="2"/>
  <c r="O22" i="2"/>
  <c r="P22" i="2" s="1"/>
  <c r="L22" i="2"/>
  <c r="M22" i="2" s="1"/>
  <c r="I22" i="2"/>
  <c r="J22" i="2" s="1"/>
  <c r="F22" i="2"/>
  <c r="G22" i="2" s="1"/>
  <c r="D22" i="2"/>
  <c r="O21" i="2"/>
  <c r="P21" i="2" s="1"/>
  <c r="L21" i="2"/>
  <c r="M21" i="2" s="1"/>
  <c r="I21" i="2"/>
  <c r="J21" i="2" s="1"/>
  <c r="F21" i="2"/>
  <c r="G21" i="2" s="1"/>
  <c r="D21" i="2"/>
  <c r="O20" i="2"/>
  <c r="P20" i="2" s="1"/>
  <c r="M20" i="2"/>
  <c r="I20" i="2"/>
  <c r="J20" i="2" s="1"/>
  <c r="F20" i="2"/>
  <c r="G20" i="2" s="1"/>
  <c r="D20" i="2"/>
  <c r="T29" i="2"/>
  <c r="O19" i="2"/>
  <c r="P19" i="2" s="1"/>
  <c r="L19" i="2"/>
  <c r="M19" i="2" s="1"/>
  <c r="I19" i="2"/>
  <c r="J19" i="2" s="1"/>
  <c r="F19" i="2"/>
  <c r="G19" i="2" s="1"/>
  <c r="D19" i="2"/>
  <c r="O18" i="2"/>
  <c r="P18" i="2" s="1"/>
  <c r="L18" i="2"/>
  <c r="M18" i="2" s="1"/>
  <c r="I18" i="2"/>
  <c r="J18" i="2" s="1"/>
  <c r="F18" i="2"/>
  <c r="G18" i="2" s="1"/>
  <c r="D18" i="2"/>
  <c r="O17" i="2"/>
  <c r="P17" i="2" s="1"/>
  <c r="L17" i="2"/>
  <c r="M17" i="2" s="1"/>
  <c r="I17" i="2"/>
  <c r="J17" i="2" s="1"/>
  <c r="F17" i="2"/>
  <c r="G17" i="2" s="1"/>
  <c r="D17" i="2"/>
  <c r="O16" i="2"/>
  <c r="P16" i="2" s="1"/>
  <c r="L16" i="2"/>
  <c r="M16" i="2" s="1"/>
  <c r="I16" i="2"/>
  <c r="J16" i="2" s="1"/>
  <c r="F16" i="2"/>
  <c r="G16" i="2" s="1"/>
  <c r="D16" i="2"/>
  <c r="O15" i="2"/>
  <c r="P15" i="2" s="1"/>
  <c r="L15" i="2"/>
  <c r="M15" i="2" s="1"/>
  <c r="I15" i="2"/>
  <c r="J15" i="2" s="1"/>
  <c r="F15" i="2"/>
  <c r="G15" i="2" s="1"/>
  <c r="D15" i="2"/>
  <c r="O14" i="2"/>
  <c r="P14" i="2" s="1"/>
  <c r="L14" i="2"/>
  <c r="M14" i="2" s="1"/>
  <c r="I14" i="2"/>
  <c r="J14" i="2" s="1"/>
  <c r="F14" i="2"/>
  <c r="G14" i="2" s="1"/>
  <c r="D14" i="2"/>
  <c r="O13" i="2"/>
  <c r="P13" i="2" s="1"/>
  <c r="L13" i="2"/>
  <c r="M13" i="2" s="1"/>
  <c r="I13" i="2"/>
  <c r="J13" i="2" s="1"/>
  <c r="F13" i="2"/>
  <c r="G13" i="2" s="1"/>
  <c r="D13" i="2"/>
  <c r="O12" i="2"/>
  <c r="P12" i="2" s="1"/>
  <c r="L12" i="2"/>
  <c r="M12" i="2" s="1"/>
  <c r="I12" i="2"/>
  <c r="J12" i="2" s="1"/>
  <c r="F12" i="2"/>
  <c r="G12" i="2" s="1"/>
  <c r="D12" i="2"/>
  <c r="O10" i="2"/>
  <c r="P10" i="2" s="1"/>
  <c r="L10" i="2"/>
  <c r="M10" i="2" s="1"/>
  <c r="I10" i="2"/>
  <c r="J10" i="2" s="1"/>
  <c r="F10" i="2"/>
  <c r="G10" i="2" s="1"/>
  <c r="C10" i="2"/>
  <c r="D10" i="2" s="1"/>
  <c r="O9" i="2"/>
  <c r="P9" i="2" s="1"/>
  <c r="L9" i="2"/>
  <c r="M9" i="2" s="1"/>
  <c r="I9" i="2"/>
  <c r="J9" i="2" s="1"/>
  <c r="F9" i="2"/>
  <c r="G9" i="2" s="1"/>
  <c r="C9" i="2"/>
  <c r="D9" i="2" s="1"/>
  <c r="O8" i="2"/>
  <c r="P8" i="2" s="1"/>
  <c r="K29" i="2"/>
  <c r="I8" i="2"/>
  <c r="J8" i="2" s="1"/>
  <c r="F8" i="2"/>
  <c r="G8" i="2" s="1"/>
  <c r="C8" i="2"/>
  <c r="D8" i="2" s="1"/>
  <c r="N29" i="2"/>
  <c r="L7" i="2"/>
  <c r="M7" i="2" s="1"/>
  <c r="I7" i="2"/>
  <c r="J7" i="2" s="1"/>
  <c r="F7" i="2"/>
  <c r="G7" i="2" s="1"/>
  <c r="C7" i="2"/>
  <c r="D7" i="2" s="1"/>
  <c r="O6" i="2"/>
  <c r="P6" i="2" s="1"/>
  <c r="L6" i="2"/>
  <c r="M6" i="2" s="1"/>
  <c r="I6" i="2"/>
  <c r="J6" i="2" s="1"/>
  <c r="F6" i="2"/>
  <c r="G6" i="2" s="1"/>
  <c r="C6" i="2"/>
  <c r="D6" i="2" s="1"/>
  <c r="Q29" i="2"/>
  <c r="O5" i="2"/>
  <c r="P5" i="2" s="1"/>
  <c r="L5" i="2"/>
  <c r="M5" i="2" s="1"/>
  <c r="I5" i="2"/>
  <c r="J5" i="2" s="1"/>
  <c r="F5" i="2"/>
  <c r="G5" i="2" s="1"/>
  <c r="C5" i="2"/>
  <c r="D5" i="2" s="1"/>
  <c r="O4" i="2"/>
  <c r="P4" i="2" s="1"/>
  <c r="L4" i="2"/>
  <c r="M4" i="2" s="1"/>
  <c r="I4" i="2"/>
  <c r="J4" i="2" s="1"/>
  <c r="F4" i="2"/>
  <c r="G4" i="2" s="1"/>
  <c r="C4" i="2"/>
  <c r="D4" i="2" s="1"/>
  <c r="R29" i="2"/>
  <c r="O3" i="2"/>
  <c r="P3" i="2" s="1"/>
  <c r="L3" i="2"/>
  <c r="M3" i="2" s="1"/>
  <c r="I3" i="2"/>
  <c r="J3" i="2" s="1"/>
  <c r="E29" i="2"/>
  <c r="F29" i="2" s="1"/>
  <c r="G29" i="2" s="1"/>
  <c r="C3" i="2"/>
  <c r="D3" i="2" s="1"/>
  <c r="O29" i="2" l="1"/>
  <c r="P29" i="2" s="1"/>
  <c r="L29" i="2"/>
  <c r="M29" i="2" s="1"/>
  <c r="U29" i="2"/>
  <c r="L8" i="2"/>
  <c r="M8" i="2" s="1"/>
  <c r="F3" i="2"/>
  <c r="G3" i="2" s="1"/>
  <c r="B29" i="2"/>
  <c r="C29" i="2" s="1"/>
  <c r="D29" i="2" s="1"/>
  <c r="O7" i="2"/>
  <c r="P7" i="2" s="1"/>
  <c r="H29" i="2"/>
  <c r="T32" i="1"/>
  <c r="S32" i="1"/>
  <c r="R32" i="1"/>
  <c r="Q32" i="1"/>
  <c r="N32" i="1"/>
  <c r="K32" i="1"/>
  <c r="H32" i="1"/>
  <c r="E32" i="1"/>
  <c r="B32" i="1"/>
  <c r="T29" i="1"/>
  <c r="R29" i="1"/>
  <c r="Q29" i="1"/>
  <c r="K29" i="1"/>
  <c r="H29" i="1"/>
  <c r="E29" i="1"/>
  <c r="B29" i="1"/>
  <c r="I29" i="2" l="1"/>
  <c r="J29" i="2" s="1"/>
  <c r="T28" i="1"/>
  <c r="R28" i="1"/>
  <c r="K28" i="1"/>
  <c r="H28" i="1"/>
  <c r="E28" i="1"/>
  <c r="B28" i="1"/>
  <c r="E27" i="1"/>
  <c r="R27" i="1"/>
  <c r="N27" i="1"/>
  <c r="K27" i="1"/>
  <c r="H27" i="1"/>
  <c r="B27" i="1"/>
  <c r="T26" i="1" l="1"/>
  <c r="R26" i="1"/>
  <c r="N26" i="1"/>
  <c r="K26" i="1"/>
  <c r="H26" i="1"/>
  <c r="E26" i="1"/>
  <c r="B26" i="1"/>
  <c r="T25" i="1"/>
  <c r="R25" i="1"/>
  <c r="K25" i="1"/>
  <c r="H25" i="1"/>
  <c r="E25" i="1"/>
  <c r="B25" i="1"/>
  <c r="T24" i="1" l="1"/>
  <c r="R24" i="1"/>
  <c r="Q24" i="1"/>
  <c r="N24" i="1"/>
  <c r="K24" i="1"/>
  <c r="H24" i="1"/>
  <c r="E24" i="1"/>
  <c r="B24" i="1"/>
  <c r="R23" i="1"/>
  <c r="Q23" i="1"/>
  <c r="K23" i="1"/>
  <c r="H23" i="1"/>
  <c r="E23" i="1"/>
  <c r="B23" i="1"/>
  <c r="R22" i="1" l="1"/>
  <c r="E22" i="1"/>
  <c r="B22" i="1"/>
  <c r="T20" i="1" l="1"/>
  <c r="R20" i="1"/>
  <c r="N20" i="1"/>
  <c r="K20" i="1"/>
  <c r="H20" i="1"/>
  <c r="E20" i="1"/>
  <c r="B20" i="1"/>
  <c r="R19" i="1" l="1"/>
  <c r="E19" i="1" l="1"/>
  <c r="B19" i="1"/>
  <c r="T18" i="1"/>
  <c r="S18" i="1"/>
  <c r="R18" i="1"/>
  <c r="Q18" i="1"/>
  <c r="N18" i="1"/>
  <c r="K18" i="1"/>
  <c r="H18" i="1"/>
  <c r="E18" i="1"/>
  <c r="B18" i="1"/>
  <c r="K17" i="1"/>
  <c r="T17" i="1"/>
  <c r="R17" i="1"/>
  <c r="N17" i="1"/>
  <c r="H17" i="1"/>
  <c r="E17" i="1"/>
  <c r="B17" i="1"/>
  <c r="R16" i="1" l="1"/>
  <c r="K16" i="1"/>
  <c r="H16" i="1"/>
  <c r="E16" i="1"/>
  <c r="B16" i="1"/>
  <c r="E15" i="1"/>
  <c r="B15" i="1"/>
  <c r="R14" i="1" l="1"/>
  <c r="K14" i="1"/>
  <c r="H14" i="1"/>
  <c r="E14" i="1"/>
  <c r="B14" i="1"/>
  <c r="R13" i="1" l="1"/>
  <c r="H13" i="1"/>
  <c r="E13" i="1"/>
  <c r="B13" i="1"/>
  <c r="T12" i="1"/>
  <c r="R12" i="1"/>
  <c r="K12" i="1"/>
  <c r="H12" i="1"/>
  <c r="E12" i="1"/>
  <c r="B12" i="1"/>
  <c r="R11" i="1" l="1"/>
  <c r="Q11" i="1"/>
  <c r="N11" i="1"/>
  <c r="K11" i="1"/>
  <c r="H11" i="1"/>
  <c r="E11" i="1"/>
  <c r="B11" i="1"/>
  <c r="R10" i="1"/>
  <c r="Q10" i="1"/>
  <c r="K10" i="1"/>
  <c r="H10" i="1"/>
  <c r="E10" i="1"/>
  <c r="B10" i="1"/>
  <c r="T9" i="1"/>
  <c r="R9" i="1"/>
  <c r="Q9" i="1"/>
  <c r="K9" i="1"/>
  <c r="H9" i="1"/>
  <c r="E9" i="1"/>
  <c r="B9" i="1"/>
  <c r="T8" i="1"/>
  <c r="R8" i="1"/>
  <c r="K8" i="1"/>
  <c r="E8" i="1"/>
  <c r="B8" i="1"/>
  <c r="R7" i="1" l="1"/>
  <c r="Q7" i="1"/>
  <c r="N7" i="1"/>
  <c r="K7" i="1"/>
  <c r="H7" i="1"/>
  <c r="E7" i="1"/>
  <c r="B7" i="1"/>
  <c r="N6" i="1"/>
  <c r="K6" i="1"/>
  <c r="H6" i="1"/>
  <c r="E6" i="1"/>
  <c r="T6" i="1"/>
  <c r="R6" i="1"/>
  <c r="Q6" i="1"/>
  <c r="B6" i="1"/>
  <c r="T5" i="1"/>
  <c r="R5" i="1"/>
  <c r="Q5" i="1"/>
  <c r="N5" i="1"/>
  <c r="K5" i="1"/>
  <c r="H5" i="1"/>
  <c r="E5" i="1"/>
  <c r="B5" i="1"/>
  <c r="R3" i="1" l="1"/>
  <c r="R30" i="1" s="1"/>
  <c r="R31" i="1" s="1"/>
  <c r="O4" i="1"/>
  <c r="P4" i="1" s="1"/>
  <c r="O5" i="1"/>
  <c r="P5" i="1" s="1"/>
  <c r="O6" i="1"/>
  <c r="P6" i="1" s="1"/>
  <c r="O7" i="1"/>
  <c r="P7" i="1" s="1"/>
  <c r="O8" i="1"/>
  <c r="P8" i="1" s="1"/>
  <c r="O9" i="1"/>
  <c r="P9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M24" i="1"/>
  <c r="L4" i="1"/>
  <c r="M4" i="1" s="1"/>
  <c r="L5" i="1"/>
  <c r="M5" i="1" s="1"/>
  <c r="L6" i="1"/>
  <c r="M6" i="1" s="1"/>
  <c r="L7" i="1"/>
  <c r="M7" i="1" s="1"/>
  <c r="L8" i="1"/>
  <c r="M8" i="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4" i="1"/>
  <c r="L25" i="1"/>
  <c r="M25" i="1" s="1"/>
  <c r="L26" i="1"/>
  <c r="M26" i="1" s="1"/>
  <c r="L27" i="1"/>
  <c r="M27" i="1" s="1"/>
  <c r="L28" i="1"/>
  <c r="M28" i="1" s="1"/>
  <c r="L29" i="1"/>
  <c r="M29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C4" i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O3" i="1"/>
  <c r="P3" i="1" s="1"/>
  <c r="K3" i="1"/>
  <c r="K30" i="1" s="1"/>
  <c r="K31" i="1" s="1"/>
  <c r="H3" i="1"/>
  <c r="H30" i="1" s="1"/>
  <c r="H31" i="1" s="1"/>
  <c r="E3" i="1"/>
  <c r="E30" i="1" s="1"/>
  <c r="E31" i="1" s="1"/>
  <c r="B3" i="1"/>
  <c r="B30" i="1" s="1"/>
  <c r="T30" i="1"/>
  <c r="T31" i="1" s="1"/>
  <c r="S30" i="1"/>
  <c r="S31" i="1" s="1"/>
  <c r="Q30" i="1"/>
  <c r="Q31" i="1" s="1"/>
  <c r="N30" i="1"/>
  <c r="N31" i="1" s="1"/>
  <c r="C30" i="1" l="1"/>
  <c r="B31" i="1"/>
  <c r="L3" i="1"/>
  <c r="M3" i="1" s="1"/>
  <c r="C3" i="1"/>
  <c r="D3" i="1" s="1"/>
  <c r="F3" i="1"/>
  <c r="G3" i="1" s="1"/>
  <c r="I3" i="1"/>
  <c r="J3" i="1" s="1"/>
  <c r="O30" i="1"/>
  <c r="P30" i="1" s="1"/>
  <c r="L30" i="1" l="1"/>
  <c r="M30" i="1" s="1"/>
  <c r="D30" i="1"/>
  <c r="I30" i="1"/>
  <c r="J30" i="1" s="1"/>
  <c r="F30" i="1"/>
  <c r="G3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I10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cari</t>
        </r>
      </text>
    </comment>
  </commentList>
</comments>
</file>

<file path=xl/sharedStrings.xml><?xml version="1.0" encoding="utf-8"?>
<sst xmlns="http://schemas.openxmlformats.org/spreadsheetml/2006/main" count="131" uniqueCount="53">
  <si>
    <t>FİŞ TARİHİ</t>
  </si>
  <si>
    <t>YİYECEK</t>
  </si>
  <si>
    <t>ALKOLLÜ İÇECEK</t>
  </si>
  <si>
    <t>İÇECEK</t>
  </si>
  <si>
    <t>KUVER</t>
  </si>
  <si>
    <t>BAHŞİŞ</t>
  </si>
  <si>
    <t>NAKİT</t>
  </si>
  <si>
    <t>K.KARTI</t>
  </si>
  <si>
    <t>FATURA ÖDEME BİLGİLERİ</t>
  </si>
  <si>
    <t>KREDİ KARTI</t>
  </si>
  <si>
    <t>NOT</t>
  </si>
  <si>
    <t>CARİ 900 TL</t>
  </si>
  <si>
    <t>2380 TL SİSTEM VE UYUMSOFT FAZLA 
FAT NAKİT FATURA ÖKC EKSİK</t>
  </si>
  <si>
    <t>2381 TL SİSTEM VE UYUMSOFT EKSİK 
FAT NAKİT FATURA ÖKC FAZLA</t>
  </si>
  <si>
    <t>650 TL KDVLERDE FAZLA VAR</t>
  </si>
  <si>
    <t>DEVİR</t>
  </si>
  <si>
    <t>Z NO 1896</t>
  </si>
  <si>
    <t>FARK</t>
  </si>
  <si>
    <t xml:space="preserve">1000 TL FAT DİĞER GÖRÜNÜYOR ZDE </t>
  </si>
  <si>
    <t>QR ÖDEME</t>
  </si>
  <si>
    <t>CARİ 90.470 TL</t>
  </si>
  <si>
    <t>Z NO 1953</t>
  </si>
  <si>
    <t>Z NO 1722</t>
  </si>
  <si>
    <t>DEVİR MART</t>
  </si>
  <si>
    <t>Cari</t>
  </si>
  <si>
    <t>Fatura Kredi Kartı</t>
  </si>
  <si>
    <t>EFT Pos Kredi Kartı - HALKBANK</t>
  </si>
  <si>
    <t>Fatura Nakit</t>
  </si>
  <si>
    <t>EFT Pos Nakit - 0</t>
  </si>
  <si>
    <t>Ödenmez</t>
  </si>
  <si>
    <t>İkram</t>
  </si>
  <si>
    <t>EFTPOS'a Gönder</t>
  </si>
  <si>
    <t>SİMPRA</t>
  </si>
  <si>
    <t>ÖKC</t>
  </si>
  <si>
    <t>CARİ</t>
  </si>
  <si>
    <t>K.K.</t>
  </si>
  <si>
    <t>KASA</t>
  </si>
  <si>
    <t>KASA KAHVE</t>
  </si>
  <si>
    <t>TOLA</t>
  </si>
  <si>
    <t>SARKAN</t>
  </si>
  <si>
    <t>uyumsoft ft toplamı</t>
  </si>
  <si>
    <t>simp. Ft top</t>
  </si>
  <si>
    <t>1792 devir</t>
  </si>
  <si>
    <t>devir</t>
  </si>
  <si>
    <t>4985 TL UYUMSOFT EKSİK FATURA</t>
  </si>
  <si>
    <t>4880 TL UYUMSOFT FAZLA FATURA</t>
  </si>
  <si>
    <t>105 TL UYUMSOFT FAZLA FATURA</t>
  </si>
  <si>
    <t>7230 TL UYUMSOFT EKSİK FATURA</t>
  </si>
  <si>
    <t>10.800 TL UYUMSOFT EKSİK FATURA</t>
  </si>
  <si>
    <t>CARİ 226930 TL</t>
  </si>
  <si>
    <t>CARİ 440000 TL</t>
  </si>
  <si>
    <t>FATURA NAKİT 6950 TL EKSİK</t>
  </si>
  <si>
    <t>CARİ 16720 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</si>
</sst>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8"/>
      <color rgb="FF000000"/>
      <name val="Arial"/>
      <family val="2"/>
      <charset val="162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E3E3E7"/>
      </left>
      <right/>
      <top style="medium">
        <color rgb="FFE3E3E7"/>
      </top>
      <bottom/>
      <diagonal/>
    </border>
    <border>
      <left style="medium">
        <color rgb="FFE3E3E7"/>
      </left>
      <right/>
      <top style="medium">
        <color rgb="FFE3E3E7"/>
      </top>
      <bottom style="medium">
        <color rgb="FFE3E3E7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4" fontId="2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1" xfId="0" applyNumberFormat="1" applyBorder="1"/>
    <xf numFmtId="4" fontId="0" fillId="0" borderId="2" xfId="0" applyNumberFormat="1" applyBorder="1"/>
    <xf numFmtId="4" fontId="0" fillId="2" borderId="1" xfId="0" applyNumberFormat="1" applyFill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0" fillId="0" borderId="3" xfId="0" applyNumberFormat="1" applyBorder="1"/>
    <xf numFmtId="0" fontId="0" fillId="0" borderId="1" xfId="0" applyBorder="1" applyAlignment="1">
      <alignment horizontal="center" vertical="center"/>
    </xf>
    <xf numFmtId="0" fontId="0" fillId="2" borderId="0" xfId="0" applyFill="1"/>
    <xf numFmtId="4" fontId="0" fillId="2" borderId="3" xfId="0" applyNumberFormat="1" applyFill="1" applyBorder="1"/>
    <xf numFmtId="0" fontId="0" fillId="0" borderId="1" xfId="0" applyBorder="1" applyAlignment="1">
      <alignment horizontal="center" wrapText="1"/>
    </xf>
    <xf numFmtId="4" fontId="0" fillId="3" borderId="1" xfId="0" applyNumberFormat="1" applyFill="1" applyBorder="1"/>
    <xf numFmtId="4" fontId="0" fillId="0" borderId="4" xfId="0" applyNumberFormat="1" applyBorder="1"/>
    <xf numFmtId="0" fontId="0" fillId="4" borderId="0" xfId="0" applyFill="1"/>
    <xf numFmtId="0" fontId="0" fillId="4" borderId="0" xfId="0" applyFill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horizontal="center"/>
    </xf>
    <xf numFmtId="4" fontId="0" fillId="2" borderId="0" xfId="0" applyNumberFormat="1" applyFill="1"/>
    <xf numFmtId="4" fontId="0" fillId="2" borderId="4" xfId="0" applyNumberFormat="1" applyFill="1" applyBorder="1"/>
    <xf numFmtId="0" fontId="5" fillId="5" borderId="5" xfId="0" applyFont="1" applyFill="1" applyBorder="1" applyAlignment="1">
      <alignment horizontal="left" vertical="center" indent="1"/>
    </xf>
    <xf numFmtId="0" fontId="5" fillId="5" borderId="6" xfId="0" applyFont="1" applyFill="1" applyBorder="1" applyAlignment="1">
      <alignment horizontal="left" vertical="center" indent="1"/>
    </xf>
    <xf numFmtId="43" fontId="5" fillId="5" borderId="5" xfId="1" applyFont="1" applyFill="1" applyBorder="1" applyAlignment="1">
      <alignment horizontal="left" vertical="center" indent="1"/>
    </xf>
    <xf numFmtId="43" fontId="5" fillId="5" borderId="6" xfId="1" applyFont="1" applyFill="1" applyBorder="1" applyAlignment="1">
      <alignment horizontal="left" vertical="center" indent="1"/>
    </xf>
    <xf numFmtId="43" fontId="0" fillId="0" borderId="0" xfId="1" applyFont="1"/>
    <xf numFmtId="43" fontId="0" fillId="0" borderId="0" xfId="0" applyNumberFormat="1"/>
    <xf numFmtId="43" fontId="0" fillId="0" borderId="0" xfId="1" applyFont="1" applyFill="1"/>
    <xf numFmtId="43" fontId="0" fillId="6" borderId="0" xfId="1" applyFont="1" applyFill="1"/>
    <xf numFmtId="0" fontId="0" fillId="6" borderId="0" xfId="0" applyFill="1"/>
    <xf numFmtId="4" fontId="0" fillId="6" borderId="3" xfId="0" applyNumberFormat="1" applyFill="1" applyBorder="1"/>
    <xf numFmtId="4" fontId="0" fillId="6" borderId="1" xfId="0" applyNumberFormat="1" applyFill="1" applyBorder="1"/>
    <xf numFmtId="4" fontId="0" fillId="3" borderId="3" xfId="0" applyNumberFormat="1" applyFill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8.05.2025_Giden%20Fatura%20Genel%20Raporu_Fatura%20Genel%20Rapor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."/>
      <sheetName val="çalışma"/>
    </sheetNames>
    <sheetDataSet>
      <sheetData sheetId="0"/>
      <sheetData sheetId="1">
        <row r="78">
          <cell r="L78">
            <v>11050</v>
          </cell>
        </row>
      </sheetData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0"/>
  <sheetViews>
    <sheetView workbookViewId="0">
      <selection activeCell="T29" sqref="T29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20" width="13.88671875" customWidth="1"/>
    <col min="21" max="21" width="32.109375" style="4" bestFit="1" customWidth="1"/>
  </cols>
  <sheetData>
    <row r="1" spans="1:21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39" t="s">
        <v>8</v>
      </c>
      <c r="T1" s="40"/>
      <c r="U1" s="12" t="s">
        <v>10</v>
      </c>
    </row>
    <row r="2" spans="1:21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 t="s">
        <v>6</v>
      </c>
      <c r="T2" s="13" t="s">
        <v>9</v>
      </c>
      <c r="U2" s="3"/>
    </row>
    <row r="3" spans="1:21" x14ac:dyDescent="0.3">
      <c r="A3" s="8">
        <v>45658</v>
      </c>
      <c r="B3" s="11">
        <f>36145</f>
        <v>36145</v>
      </c>
      <c r="C3" s="9">
        <f>B3/1.1</f>
        <v>32859.090909090904</v>
      </c>
      <c r="D3" s="9">
        <f>C3*0.1</f>
        <v>3285.9090909090905</v>
      </c>
      <c r="E3" s="11">
        <f>7760+1010</f>
        <v>8770</v>
      </c>
      <c r="F3" s="9">
        <f>E3/1.2</f>
        <v>7308.3333333333339</v>
      </c>
      <c r="G3" s="9">
        <f>F3*0.2</f>
        <v>1461.666666666667</v>
      </c>
      <c r="H3" s="11">
        <f>1385+75</f>
        <v>1460</v>
      </c>
      <c r="I3" s="9">
        <f>H3/1.1</f>
        <v>1327.2727272727273</v>
      </c>
      <c r="J3" s="9">
        <f>I3*0.1</f>
        <v>132.72727272727272</v>
      </c>
      <c r="K3" s="11">
        <f>2800+400</f>
        <v>3200</v>
      </c>
      <c r="L3" s="9">
        <f>K3/1.2</f>
        <v>2666.666666666667</v>
      </c>
      <c r="M3" s="9">
        <f>L3*0.2</f>
        <v>533.33333333333337</v>
      </c>
      <c r="N3" s="9">
        <v>0</v>
      </c>
      <c r="O3" s="9">
        <f>N3/1.2</f>
        <v>0</v>
      </c>
      <c r="P3" s="9">
        <f>O3*0.2</f>
        <v>0</v>
      </c>
      <c r="Q3" s="11">
        <v>13630</v>
      </c>
      <c r="R3" s="11">
        <f>34460+1485</f>
        <v>35945</v>
      </c>
      <c r="S3" s="9">
        <v>0</v>
      </c>
      <c r="T3" s="17">
        <v>9975</v>
      </c>
      <c r="U3" s="3"/>
    </row>
    <row r="4" spans="1:21" x14ac:dyDescent="0.3">
      <c r="A4" s="8">
        <v>45659</v>
      </c>
      <c r="B4" s="11">
        <v>26915</v>
      </c>
      <c r="C4" s="9">
        <f t="shared" ref="C4:C29" si="0">B4/1.1</f>
        <v>24468.181818181816</v>
      </c>
      <c r="D4" s="9">
        <f t="shared" ref="D4:D29" si="1">C4*0.1</f>
        <v>2446.8181818181815</v>
      </c>
      <c r="E4" s="11">
        <v>7530</v>
      </c>
      <c r="F4" s="9">
        <f t="shared" ref="F4:F29" si="2">E4/1.2</f>
        <v>6275</v>
      </c>
      <c r="G4" s="9">
        <f t="shared" ref="G4:G29" si="3">F4*0.2</f>
        <v>1255</v>
      </c>
      <c r="H4" s="11">
        <v>1045</v>
      </c>
      <c r="I4" s="9">
        <f t="shared" ref="I4:I29" si="4">H4/1.1</f>
        <v>949.99999999999989</v>
      </c>
      <c r="J4" s="9">
        <f t="shared" ref="J4:J29" si="5">I4*0.1</f>
        <v>95</v>
      </c>
      <c r="K4" s="11">
        <v>2000</v>
      </c>
      <c r="L4" s="9">
        <f t="shared" ref="L4:L29" si="6">K4/1.2</f>
        <v>1666.6666666666667</v>
      </c>
      <c r="M4" s="9">
        <f t="shared" ref="M4:M29" si="7">L4*0.2</f>
        <v>333.33333333333337</v>
      </c>
      <c r="N4" s="9">
        <v>0</v>
      </c>
      <c r="O4" s="9">
        <f t="shared" ref="O4:O29" si="8">N4/1.2</f>
        <v>0</v>
      </c>
      <c r="P4" s="9">
        <f t="shared" ref="P4:P29" si="9">O4*0.2</f>
        <v>0</v>
      </c>
      <c r="Q4" s="11">
        <v>3650</v>
      </c>
      <c r="R4" s="11">
        <v>33840</v>
      </c>
      <c r="S4" s="9">
        <v>0</v>
      </c>
      <c r="T4" s="14">
        <v>0</v>
      </c>
      <c r="U4" s="3"/>
    </row>
    <row r="5" spans="1:21" x14ac:dyDescent="0.3">
      <c r="A5" s="8">
        <v>45660</v>
      </c>
      <c r="B5" s="11">
        <f>28320+9000</f>
        <v>37320</v>
      </c>
      <c r="C5" s="9">
        <f t="shared" si="0"/>
        <v>33927.272727272728</v>
      </c>
      <c r="D5" s="9">
        <f t="shared" si="1"/>
        <v>3392.727272727273</v>
      </c>
      <c r="E5" s="11">
        <f>8470+1300+970+13060</f>
        <v>23800</v>
      </c>
      <c r="F5" s="9">
        <f t="shared" si="2"/>
        <v>19833.333333333336</v>
      </c>
      <c r="G5" s="9">
        <f t="shared" si="3"/>
        <v>3966.6666666666674</v>
      </c>
      <c r="H5" s="11">
        <f>1130+270+150</f>
        <v>1550</v>
      </c>
      <c r="I5" s="9">
        <f t="shared" si="4"/>
        <v>1409.090909090909</v>
      </c>
      <c r="J5" s="9">
        <f t="shared" si="5"/>
        <v>140.90909090909091</v>
      </c>
      <c r="K5" s="11">
        <f>2200+300+400+2600</f>
        <v>5500</v>
      </c>
      <c r="L5" s="9">
        <f t="shared" si="6"/>
        <v>4583.3333333333339</v>
      </c>
      <c r="M5" s="9">
        <f t="shared" si="7"/>
        <v>916.66666666666686</v>
      </c>
      <c r="N5" s="11">
        <f>850+1000</f>
        <v>1850</v>
      </c>
      <c r="O5" s="9">
        <f t="shared" si="8"/>
        <v>1541.6666666666667</v>
      </c>
      <c r="P5" s="9">
        <f t="shared" si="9"/>
        <v>308.33333333333337</v>
      </c>
      <c r="Q5" s="11">
        <f>8115</f>
        <v>8115</v>
      </c>
      <c r="R5" s="11">
        <f>32855+11870+1370+15810</f>
        <v>61905</v>
      </c>
      <c r="S5" s="9">
        <v>0</v>
      </c>
      <c r="T5" s="17">
        <f>19620+20000</f>
        <v>39620</v>
      </c>
      <c r="U5" s="3"/>
    </row>
    <row r="6" spans="1:21" x14ac:dyDescent="0.3">
      <c r="A6" s="8">
        <v>45661</v>
      </c>
      <c r="B6" s="11">
        <f>41169.31+3630.57+4050</f>
        <v>48849.88</v>
      </c>
      <c r="C6" s="9">
        <f t="shared" si="0"/>
        <v>44408.981818181812</v>
      </c>
      <c r="D6" s="9">
        <f t="shared" si="1"/>
        <v>4440.898181818181</v>
      </c>
      <c r="E6" s="11">
        <f>12690+1178.35+10600+1795+8675</f>
        <v>34938.35</v>
      </c>
      <c r="F6" s="9">
        <f t="shared" si="2"/>
        <v>29115.291666666668</v>
      </c>
      <c r="G6" s="9">
        <f t="shared" si="3"/>
        <v>5823.0583333333343</v>
      </c>
      <c r="H6" s="11">
        <f>837.67+925+225</f>
        <v>1987.67</v>
      </c>
      <c r="I6" s="9">
        <f t="shared" si="4"/>
        <v>1806.9727272727273</v>
      </c>
      <c r="J6" s="9">
        <f t="shared" si="5"/>
        <v>180.69727272727275</v>
      </c>
      <c r="K6" s="11">
        <f>5058.52+191.08+1600+600+600</f>
        <v>8049.6</v>
      </c>
      <c r="L6" s="9">
        <f t="shared" si="6"/>
        <v>6708.0000000000009</v>
      </c>
      <c r="M6" s="9">
        <f t="shared" si="7"/>
        <v>1341.6000000000004</v>
      </c>
      <c r="N6" s="11">
        <f>460+200</f>
        <v>660</v>
      </c>
      <c r="O6" s="9">
        <f t="shared" si="8"/>
        <v>550</v>
      </c>
      <c r="P6" s="9">
        <f t="shared" si="9"/>
        <v>110</v>
      </c>
      <c r="Q6" s="11">
        <f>585</f>
        <v>585</v>
      </c>
      <c r="R6" s="11">
        <f>59630.5+5000+13125+6445+9700</f>
        <v>93900.5</v>
      </c>
      <c r="S6" s="11">
        <v>1600</v>
      </c>
      <c r="T6" s="17">
        <f>9500+7485+14970+39550</f>
        <v>71505</v>
      </c>
      <c r="U6" s="3"/>
    </row>
    <row r="7" spans="1:21" x14ac:dyDescent="0.3">
      <c r="A7" s="8">
        <v>45662</v>
      </c>
      <c r="B7" s="11">
        <f>86322.27</f>
        <v>86322.27</v>
      </c>
      <c r="C7" s="9">
        <f t="shared" si="0"/>
        <v>78474.790909090909</v>
      </c>
      <c r="D7" s="9">
        <f t="shared" si="1"/>
        <v>7847.4790909090916</v>
      </c>
      <c r="E7" s="11">
        <f>5712.36+1250</f>
        <v>6962.36</v>
      </c>
      <c r="F7" s="9">
        <f t="shared" si="2"/>
        <v>5801.9666666666662</v>
      </c>
      <c r="G7" s="9">
        <f t="shared" si="3"/>
        <v>1160.3933333333332</v>
      </c>
      <c r="H7" s="11">
        <f>6051.96+2125</f>
        <v>8176.96</v>
      </c>
      <c r="I7" s="9">
        <f t="shared" si="4"/>
        <v>7433.5999999999995</v>
      </c>
      <c r="J7" s="9">
        <f t="shared" si="5"/>
        <v>743.36</v>
      </c>
      <c r="K7" s="11">
        <f>3838.4+1400</f>
        <v>5238.3999999999996</v>
      </c>
      <c r="L7" s="9">
        <f t="shared" si="6"/>
        <v>4365.333333333333</v>
      </c>
      <c r="M7" s="9">
        <f t="shared" si="7"/>
        <v>873.06666666666661</v>
      </c>
      <c r="N7" s="11">
        <f>600+1050</f>
        <v>1650</v>
      </c>
      <c r="O7" s="9">
        <f t="shared" si="8"/>
        <v>1375</v>
      </c>
      <c r="P7" s="9">
        <f t="shared" si="9"/>
        <v>275</v>
      </c>
      <c r="Q7" s="11">
        <f>17010+2550</f>
        <v>19560</v>
      </c>
      <c r="R7" s="11">
        <f>85514.99+3275</f>
        <v>88789.99</v>
      </c>
      <c r="S7" s="9">
        <v>0</v>
      </c>
      <c r="T7" s="17">
        <v>23685</v>
      </c>
      <c r="U7" s="15" t="s">
        <v>11</v>
      </c>
    </row>
    <row r="8" spans="1:21" x14ac:dyDescent="0.3">
      <c r="A8" s="8">
        <v>45664</v>
      </c>
      <c r="B8" s="11">
        <f>6035+9830</f>
        <v>15865</v>
      </c>
      <c r="C8" s="9">
        <f t="shared" si="0"/>
        <v>14422.727272727272</v>
      </c>
      <c r="D8" s="9">
        <f t="shared" si="1"/>
        <v>1442.2727272727273</v>
      </c>
      <c r="E8" s="11">
        <f>7900</f>
        <v>7900</v>
      </c>
      <c r="F8" s="9">
        <f t="shared" si="2"/>
        <v>6583.3333333333339</v>
      </c>
      <c r="G8" s="9">
        <f t="shared" si="3"/>
        <v>1316.666666666667</v>
      </c>
      <c r="H8" s="11">
        <v>1210</v>
      </c>
      <c r="I8" s="9">
        <f t="shared" si="4"/>
        <v>1100</v>
      </c>
      <c r="J8" s="9">
        <f t="shared" si="5"/>
        <v>110</v>
      </c>
      <c r="K8" s="11">
        <f>900+900</f>
        <v>1800</v>
      </c>
      <c r="L8" s="9">
        <f t="shared" si="6"/>
        <v>1500</v>
      </c>
      <c r="M8" s="9">
        <f t="shared" si="7"/>
        <v>300</v>
      </c>
      <c r="N8" s="9">
        <v>0</v>
      </c>
      <c r="O8" s="9">
        <f t="shared" si="8"/>
        <v>0</v>
      </c>
      <c r="P8" s="9">
        <f t="shared" si="9"/>
        <v>0</v>
      </c>
      <c r="Q8" s="11">
        <v>2265</v>
      </c>
      <c r="R8" s="11">
        <f>12570+11940</f>
        <v>24510</v>
      </c>
      <c r="S8" s="9">
        <v>0</v>
      </c>
      <c r="T8" s="17">
        <f>7410+5620</f>
        <v>13030</v>
      </c>
      <c r="U8" s="3"/>
    </row>
    <row r="9" spans="1:21" x14ac:dyDescent="0.3">
      <c r="A9" s="8">
        <v>45665</v>
      </c>
      <c r="B9" s="11">
        <f>28600+7845+3915</f>
        <v>40360</v>
      </c>
      <c r="C9" s="9">
        <f t="shared" si="0"/>
        <v>36690.909090909088</v>
      </c>
      <c r="D9" s="9">
        <f t="shared" si="1"/>
        <v>3669.090909090909</v>
      </c>
      <c r="E9" s="11">
        <f>14670+4200+3190+2750</f>
        <v>24810</v>
      </c>
      <c r="F9" s="9">
        <f t="shared" si="2"/>
        <v>20675</v>
      </c>
      <c r="G9" s="9">
        <f t="shared" si="3"/>
        <v>4135</v>
      </c>
      <c r="H9" s="11">
        <f>285</f>
        <v>285</v>
      </c>
      <c r="I9" s="9">
        <f t="shared" si="4"/>
        <v>259.09090909090907</v>
      </c>
      <c r="J9" s="9">
        <f t="shared" si="5"/>
        <v>25.909090909090907</v>
      </c>
      <c r="K9" s="11">
        <f>3000+1400+900+900</f>
        <v>6200</v>
      </c>
      <c r="L9" s="9">
        <f t="shared" si="6"/>
        <v>5166.666666666667</v>
      </c>
      <c r="M9" s="9">
        <f t="shared" si="7"/>
        <v>1033.3333333333335</v>
      </c>
      <c r="N9" s="11">
        <v>500</v>
      </c>
      <c r="O9" s="9">
        <f t="shared" si="8"/>
        <v>416.66666666666669</v>
      </c>
      <c r="P9" s="9">
        <f t="shared" si="9"/>
        <v>83.333333333333343</v>
      </c>
      <c r="Q9" s="11">
        <f>800</f>
        <v>800</v>
      </c>
      <c r="R9" s="16">
        <f>46555+4800+12435+7565</f>
        <v>71355</v>
      </c>
      <c r="S9" s="9">
        <v>0</v>
      </c>
      <c r="T9" s="11">
        <f>45245+13845</f>
        <v>59090</v>
      </c>
      <c r="U9" s="3"/>
    </row>
    <row r="10" spans="1:21" x14ac:dyDescent="0.3">
      <c r="A10" s="8">
        <v>45666</v>
      </c>
      <c r="B10" s="11">
        <f>33595+3305</f>
        <v>36900</v>
      </c>
      <c r="C10" s="9">
        <f t="shared" si="0"/>
        <v>33545.454545454544</v>
      </c>
      <c r="D10" s="9">
        <f t="shared" si="1"/>
        <v>3354.5454545454545</v>
      </c>
      <c r="E10" s="11">
        <f>13970+1850</f>
        <v>15820</v>
      </c>
      <c r="F10" s="9">
        <f t="shared" si="2"/>
        <v>13183.333333333334</v>
      </c>
      <c r="G10" s="9">
        <f t="shared" si="3"/>
        <v>2636.666666666667</v>
      </c>
      <c r="H10" s="11">
        <f>1935+295</f>
        <v>2230</v>
      </c>
      <c r="I10" s="9">
        <f t="shared" si="4"/>
        <v>2027.272727272727</v>
      </c>
      <c r="J10" s="9">
        <f t="shared" si="5"/>
        <v>202.72727272727272</v>
      </c>
      <c r="K10" s="11">
        <f>4350+900</f>
        <v>5250</v>
      </c>
      <c r="L10" s="9">
        <f t="shared" si="6"/>
        <v>4375</v>
      </c>
      <c r="M10" s="9">
        <f t="shared" si="7"/>
        <v>875</v>
      </c>
      <c r="N10" s="11">
        <v>1000</v>
      </c>
      <c r="O10" s="9">
        <f t="shared" si="8"/>
        <v>833.33333333333337</v>
      </c>
      <c r="P10" s="9">
        <f t="shared" si="9"/>
        <v>166.66666666666669</v>
      </c>
      <c r="Q10" s="11">
        <f>3775+3900</f>
        <v>7675</v>
      </c>
      <c r="R10" s="11">
        <f>51075+2450</f>
        <v>53525</v>
      </c>
      <c r="S10" s="9">
        <v>0</v>
      </c>
      <c r="T10" s="17">
        <v>93972.5</v>
      </c>
      <c r="U10" s="3"/>
    </row>
    <row r="11" spans="1:21" ht="28.8" x14ac:dyDescent="0.3">
      <c r="A11" s="8">
        <v>45667</v>
      </c>
      <c r="B11" s="11">
        <f>350+33745+4955</f>
        <v>39050</v>
      </c>
      <c r="C11" s="9">
        <f t="shared" si="0"/>
        <v>35500</v>
      </c>
      <c r="D11" s="9">
        <f t="shared" si="1"/>
        <v>3550</v>
      </c>
      <c r="E11" s="11">
        <f>13500+17875+2475+7525+3100+5000</f>
        <v>49475</v>
      </c>
      <c r="F11" s="9">
        <f t="shared" si="2"/>
        <v>41229.166666666672</v>
      </c>
      <c r="G11" s="9">
        <f t="shared" si="3"/>
        <v>8245.8333333333339</v>
      </c>
      <c r="H11" s="11">
        <f>75+1745+1275</f>
        <v>3095</v>
      </c>
      <c r="I11" s="9">
        <f t="shared" si="4"/>
        <v>2813.6363636363635</v>
      </c>
      <c r="J11" s="9">
        <f t="shared" si="5"/>
        <v>281.36363636363637</v>
      </c>
      <c r="K11" s="11">
        <f>1400+3550+800+800+1400+200</f>
        <v>8150</v>
      </c>
      <c r="L11" s="9">
        <f t="shared" si="6"/>
        <v>6791.666666666667</v>
      </c>
      <c r="M11" s="9">
        <f t="shared" si="7"/>
        <v>1358.3333333333335</v>
      </c>
      <c r="N11" s="11">
        <f>800+245+140+1150</f>
        <v>2335</v>
      </c>
      <c r="O11" s="9">
        <f t="shared" si="8"/>
        <v>1945.8333333333335</v>
      </c>
      <c r="P11" s="9">
        <f t="shared" si="9"/>
        <v>389.16666666666674</v>
      </c>
      <c r="Q11" s="11">
        <f>3725</f>
        <v>3725</v>
      </c>
      <c r="R11" s="11">
        <f>16125+57160+3275+4740+10730+6350</f>
        <v>98380</v>
      </c>
      <c r="S11" s="9">
        <v>0</v>
      </c>
      <c r="T11" s="17">
        <v>37625</v>
      </c>
      <c r="U11" s="18" t="s">
        <v>12</v>
      </c>
    </row>
    <row r="12" spans="1:21" ht="28.8" x14ac:dyDescent="0.3">
      <c r="A12" s="8">
        <v>45668</v>
      </c>
      <c r="B12" s="11">
        <f>250+5555+22645+41885</f>
        <v>70335</v>
      </c>
      <c r="C12" s="9">
        <f t="shared" si="0"/>
        <v>63940.909090909088</v>
      </c>
      <c r="D12" s="9">
        <f t="shared" si="1"/>
        <v>6394.090909090909</v>
      </c>
      <c r="E12" s="11">
        <f>7350+9250+18025+11705+12560</f>
        <v>58890</v>
      </c>
      <c r="F12" s="9">
        <f t="shared" si="2"/>
        <v>49075</v>
      </c>
      <c r="G12" s="9">
        <f t="shared" si="3"/>
        <v>9815</v>
      </c>
      <c r="H12" s="11">
        <f>225+75+370+745</f>
        <v>1415</v>
      </c>
      <c r="I12" s="9">
        <f t="shared" si="4"/>
        <v>1286.3636363636363</v>
      </c>
      <c r="J12" s="9">
        <f t="shared" si="5"/>
        <v>128.63636363636363</v>
      </c>
      <c r="K12" s="11">
        <f>1400+1100+3400+2700+4150</f>
        <v>12750</v>
      </c>
      <c r="L12" s="9">
        <f t="shared" si="6"/>
        <v>10625</v>
      </c>
      <c r="M12" s="9">
        <f t="shared" si="7"/>
        <v>2125</v>
      </c>
      <c r="N12" s="11">
        <v>1570</v>
      </c>
      <c r="O12" s="9">
        <f t="shared" si="8"/>
        <v>1308.3333333333335</v>
      </c>
      <c r="P12" s="9">
        <f t="shared" si="9"/>
        <v>261.66666666666669</v>
      </c>
      <c r="Q12" s="11">
        <v>3275</v>
      </c>
      <c r="R12" s="11">
        <f>9225+15905+21500+34145+60910</f>
        <v>141685</v>
      </c>
      <c r="S12" s="11">
        <v>2380</v>
      </c>
      <c r="T12" s="17">
        <f>9350+57390</f>
        <v>66740</v>
      </c>
      <c r="U12" s="18" t="s">
        <v>13</v>
      </c>
    </row>
    <row r="13" spans="1:21" x14ac:dyDescent="0.3">
      <c r="A13" s="8">
        <v>45669</v>
      </c>
      <c r="B13" s="11">
        <f>40600+53905</f>
        <v>94505</v>
      </c>
      <c r="C13" s="9">
        <f t="shared" si="0"/>
        <v>85913.636363636353</v>
      </c>
      <c r="D13" s="9">
        <f t="shared" si="1"/>
        <v>8591.363636363636</v>
      </c>
      <c r="E13" s="11">
        <f>12915</f>
        <v>12915</v>
      </c>
      <c r="F13" s="9">
        <f t="shared" si="2"/>
        <v>10762.5</v>
      </c>
      <c r="G13" s="9">
        <f t="shared" si="3"/>
        <v>2152.5</v>
      </c>
      <c r="H13" s="11">
        <f>830+3425</f>
        <v>4255</v>
      </c>
      <c r="I13" s="9">
        <f t="shared" si="4"/>
        <v>3868.181818181818</v>
      </c>
      <c r="J13" s="9">
        <f t="shared" si="5"/>
        <v>386.81818181818181</v>
      </c>
      <c r="K13" s="11">
        <v>3750</v>
      </c>
      <c r="L13" s="9">
        <f t="shared" si="6"/>
        <v>3125</v>
      </c>
      <c r="M13" s="9">
        <f t="shared" si="7"/>
        <v>625</v>
      </c>
      <c r="N13" s="11">
        <v>420</v>
      </c>
      <c r="O13" s="9">
        <f t="shared" si="8"/>
        <v>350</v>
      </c>
      <c r="P13" s="9">
        <f t="shared" si="9"/>
        <v>70</v>
      </c>
      <c r="Q13" s="11">
        <v>13395</v>
      </c>
      <c r="R13" s="11">
        <f>41430+61020</f>
        <v>102450</v>
      </c>
      <c r="S13" s="9">
        <v>0</v>
      </c>
      <c r="T13" s="17">
        <v>4625</v>
      </c>
      <c r="U13" s="3"/>
    </row>
    <row r="14" spans="1:21" x14ac:dyDescent="0.3">
      <c r="A14" s="8">
        <v>45671</v>
      </c>
      <c r="B14" s="11">
        <f>34885+450+300</f>
        <v>35635</v>
      </c>
      <c r="C14" s="9">
        <f t="shared" si="0"/>
        <v>32395.454545454544</v>
      </c>
      <c r="D14" s="9">
        <f t="shared" si="1"/>
        <v>3239.5454545454545</v>
      </c>
      <c r="E14" s="11">
        <f>14470+1850+5950+6100</f>
        <v>28370</v>
      </c>
      <c r="F14" s="9">
        <f t="shared" si="2"/>
        <v>23641.666666666668</v>
      </c>
      <c r="G14" s="9">
        <f t="shared" si="3"/>
        <v>4728.3333333333339</v>
      </c>
      <c r="H14" s="11">
        <f>650+75</f>
        <v>725</v>
      </c>
      <c r="I14" s="9">
        <f t="shared" si="4"/>
        <v>659.09090909090901</v>
      </c>
      <c r="J14" s="9">
        <f t="shared" si="5"/>
        <v>65.909090909090907</v>
      </c>
      <c r="K14" s="11">
        <f>2700+400+400+800</f>
        <v>4300</v>
      </c>
      <c r="L14" s="9">
        <f t="shared" si="6"/>
        <v>3583.3333333333335</v>
      </c>
      <c r="M14" s="9">
        <f t="shared" si="7"/>
        <v>716.66666666666674</v>
      </c>
      <c r="N14" s="9">
        <v>0</v>
      </c>
      <c r="O14" s="9">
        <f t="shared" si="8"/>
        <v>0</v>
      </c>
      <c r="P14" s="9">
        <f t="shared" si="9"/>
        <v>0</v>
      </c>
      <c r="Q14" s="9">
        <v>0</v>
      </c>
      <c r="R14" s="11">
        <f>52705+2250+6800+7275</f>
        <v>69030</v>
      </c>
      <c r="S14" s="9">
        <v>0</v>
      </c>
      <c r="T14" s="17">
        <v>23180</v>
      </c>
      <c r="U14" s="3"/>
    </row>
    <row r="15" spans="1:21" x14ac:dyDescent="0.3">
      <c r="A15" s="8">
        <v>45672</v>
      </c>
      <c r="B15" s="11">
        <f>27550</f>
        <v>27550</v>
      </c>
      <c r="C15" s="9">
        <f t="shared" si="0"/>
        <v>25045.454545454544</v>
      </c>
      <c r="D15" s="9">
        <f t="shared" si="1"/>
        <v>2504.5454545454545</v>
      </c>
      <c r="E15" s="11">
        <f>12340</f>
        <v>12340</v>
      </c>
      <c r="F15" s="9">
        <f t="shared" si="2"/>
        <v>10283.333333333334</v>
      </c>
      <c r="G15" s="9">
        <f t="shared" si="3"/>
        <v>2056.666666666667</v>
      </c>
      <c r="H15" s="11">
        <v>1130</v>
      </c>
      <c r="I15" s="9">
        <f t="shared" si="4"/>
        <v>1027.2727272727273</v>
      </c>
      <c r="J15" s="9">
        <f t="shared" si="5"/>
        <v>102.72727272727273</v>
      </c>
      <c r="K15" s="11">
        <v>3000</v>
      </c>
      <c r="L15" s="9">
        <f t="shared" si="6"/>
        <v>2500</v>
      </c>
      <c r="M15" s="9">
        <f t="shared" si="7"/>
        <v>500</v>
      </c>
      <c r="N15" s="11">
        <v>705</v>
      </c>
      <c r="O15" s="9">
        <f t="shared" si="8"/>
        <v>587.5</v>
      </c>
      <c r="P15" s="9">
        <f t="shared" si="9"/>
        <v>117.5</v>
      </c>
      <c r="Q15" s="11">
        <v>6525</v>
      </c>
      <c r="R15" s="11">
        <v>38200</v>
      </c>
      <c r="S15" s="9">
        <v>0</v>
      </c>
      <c r="T15" s="17">
        <v>27971</v>
      </c>
      <c r="U15" s="3"/>
    </row>
    <row r="16" spans="1:21" x14ac:dyDescent="0.3">
      <c r="A16" s="8">
        <v>45673</v>
      </c>
      <c r="B16" s="11">
        <f>39540</f>
        <v>39540</v>
      </c>
      <c r="C16" s="9">
        <f t="shared" si="0"/>
        <v>35945.454545454544</v>
      </c>
      <c r="D16" s="9">
        <f t="shared" si="1"/>
        <v>3594.5454545454545</v>
      </c>
      <c r="E16" s="11">
        <f>4725+1950+16095</f>
        <v>22770</v>
      </c>
      <c r="F16" s="9">
        <f t="shared" si="2"/>
        <v>18975</v>
      </c>
      <c r="G16" s="9">
        <f t="shared" si="3"/>
        <v>3795</v>
      </c>
      <c r="H16" s="11">
        <f>135+625+2865</f>
        <v>3625</v>
      </c>
      <c r="I16" s="9">
        <f t="shared" si="4"/>
        <v>3295.454545454545</v>
      </c>
      <c r="J16" s="9">
        <f t="shared" si="5"/>
        <v>329.5454545454545</v>
      </c>
      <c r="K16" s="11">
        <f>800+1000+4200</f>
        <v>6000</v>
      </c>
      <c r="L16" s="9">
        <f t="shared" si="6"/>
        <v>5000</v>
      </c>
      <c r="M16" s="9">
        <f t="shared" si="7"/>
        <v>1000</v>
      </c>
      <c r="N16" s="11">
        <v>2420</v>
      </c>
      <c r="O16" s="9">
        <f t="shared" si="8"/>
        <v>2016.6666666666667</v>
      </c>
      <c r="P16" s="9">
        <f t="shared" si="9"/>
        <v>403.33333333333337</v>
      </c>
      <c r="Q16" s="9">
        <v>0</v>
      </c>
      <c r="R16" s="11">
        <f>5660+3575+65120</f>
        <v>74355</v>
      </c>
      <c r="S16" s="9">
        <v>0</v>
      </c>
      <c r="T16" s="17">
        <v>21115</v>
      </c>
      <c r="U16" s="3"/>
    </row>
    <row r="17" spans="1:21" x14ac:dyDescent="0.3">
      <c r="A17" s="8">
        <v>45674</v>
      </c>
      <c r="B17" s="11">
        <f>2015.47+4385+3895+18390</f>
        <v>28685.47</v>
      </c>
      <c r="C17" s="9">
        <f t="shared" si="0"/>
        <v>26077.7</v>
      </c>
      <c r="D17" s="9">
        <f t="shared" si="1"/>
        <v>2607.7700000000004</v>
      </c>
      <c r="E17" s="11">
        <f>7345+6797.87+7300+3100+13155</f>
        <v>37697.869999999995</v>
      </c>
      <c r="F17" s="9">
        <f t="shared" si="2"/>
        <v>31414.891666666663</v>
      </c>
      <c r="G17" s="9">
        <f t="shared" si="3"/>
        <v>6282.9783333333326</v>
      </c>
      <c r="H17" s="11">
        <f>200+235</f>
        <v>435</v>
      </c>
      <c r="I17" s="9">
        <f t="shared" si="4"/>
        <v>395.45454545454544</v>
      </c>
      <c r="J17" s="9">
        <f t="shared" si="5"/>
        <v>39.545454545454547</v>
      </c>
      <c r="K17" s="11">
        <f>1009.42+2000+300+2250+1400</f>
        <v>6959.42</v>
      </c>
      <c r="L17" s="9">
        <f t="shared" si="6"/>
        <v>5799.5166666666673</v>
      </c>
      <c r="M17" s="9">
        <f t="shared" si="7"/>
        <v>1159.9033333333334</v>
      </c>
      <c r="N17" s="11">
        <f>900+996.49+1350+1800</f>
        <v>5046.49</v>
      </c>
      <c r="O17" s="9">
        <f t="shared" si="8"/>
        <v>4205.4083333333338</v>
      </c>
      <c r="P17" s="9">
        <f t="shared" si="9"/>
        <v>841.08166666666682</v>
      </c>
      <c r="Q17" s="9">
        <v>0</v>
      </c>
      <c r="R17" s="11">
        <f>9645+10819.25+15235+7295+35830</f>
        <v>78824.25</v>
      </c>
      <c r="S17" s="9">
        <v>0</v>
      </c>
      <c r="T17" s="17">
        <f>9210+15850+15440+21300</f>
        <v>61800</v>
      </c>
      <c r="U17" s="3"/>
    </row>
    <row r="18" spans="1:21" x14ac:dyDescent="0.3">
      <c r="A18" s="8">
        <v>45675</v>
      </c>
      <c r="B18" s="11">
        <f>450+48434.71+1700+18120</f>
        <v>68704.709999999992</v>
      </c>
      <c r="C18" s="9">
        <f t="shared" si="0"/>
        <v>62458.827272727263</v>
      </c>
      <c r="D18" s="9">
        <f t="shared" si="1"/>
        <v>6245.8827272727267</v>
      </c>
      <c r="E18" s="11">
        <f>8550+8850+14343.65+12740+8750</f>
        <v>53233.65</v>
      </c>
      <c r="F18" s="9">
        <f t="shared" si="2"/>
        <v>44361.375</v>
      </c>
      <c r="G18" s="9">
        <f t="shared" si="3"/>
        <v>8872.2749999999996</v>
      </c>
      <c r="H18" s="11">
        <f>1025+995+1105+450</f>
        <v>3575</v>
      </c>
      <c r="I18" s="9">
        <f t="shared" si="4"/>
        <v>3249.9999999999995</v>
      </c>
      <c r="J18" s="9">
        <f t="shared" si="5"/>
        <v>325</v>
      </c>
      <c r="K18" s="11">
        <f>2600+2400+4176.64+4000+1800</f>
        <v>14976.64</v>
      </c>
      <c r="L18" s="9">
        <f t="shared" si="6"/>
        <v>12480.533333333333</v>
      </c>
      <c r="M18" s="9">
        <f t="shared" si="7"/>
        <v>2496.1066666666666</v>
      </c>
      <c r="N18" s="11">
        <f>260+785+200</f>
        <v>1245</v>
      </c>
      <c r="O18" s="9">
        <f t="shared" si="8"/>
        <v>1037.5</v>
      </c>
      <c r="P18" s="9">
        <f t="shared" si="9"/>
        <v>207.5</v>
      </c>
      <c r="Q18" s="11">
        <f>1200+475</f>
        <v>1675</v>
      </c>
      <c r="R18" s="11">
        <f>11410+11525+68735+19270+29120</f>
        <v>140060</v>
      </c>
      <c r="S18" s="11">
        <f>2400+770</f>
        <v>3170</v>
      </c>
      <c r="T18" s="17">
        <f>53475+39315+9885+12755</f>
        <v>115430</v>
      </c>
      <c r="U18" s="3"/>
    </row>
    <row r="19" spans="1:21" x14ac:dyDescent="0.3">
      <c r="A19" s="8">
        <v>45676</v>
      </c>
      <c r="B19" s="19">
        <f>76785</f>
        <v>76785</v>
      </c>
      <c r="C19" s="9">
        <f t="shared" si="0"/>
        <v>69804.545454545456</v>
      </c>
      <c r="D19" s="9">
        <f t="shared" si="1"/>
        <v>6980.454545454546</v>
      </c>
      <c r="E19" s="19">
        <f>650+7325</f>
        <v>7975</v>
      </c>
      <c r="F19" s="9">
        <f t="shared" si="2"/>
        <v>6645.8333333333339</v>
      </c>
      <c r="G19" s="9">
        <f t="shared" si="3"/>
        <v>1329.166666666667</v>
      </c>
      <c r="H19" s="19">
        <v>2940</v>
      </c>
      <c r="I19" s="9">
        <f t="shared" si="4"/>
        <v>2672.7272727272725</v>
      </c>
      <c r="J19" s="9">
        <f t="shared" si="5"/>
        <v>267.27272727272725</v>
      </c>
      <c r="K19" s="19">
        <v>3600</v>
      </c>
      <c r="L19" s="9">
        <f t="shared" si="6"/>
        <v>3000</v>
      </c>
      <c r="M19" s="9">
        <f t="shared" si="7"/>
        <v>600</v>
      </c>
      <c r="N19" s="19">
        <v>450</v>
      </c>
      <c r="O19" s="9">
        <f t="shared" si="8"/>
        <v>375</v>
      </c>
      <c r="P19" s="9">
        <f t="shared" si="9"/>
        <v>75</v>
      </c>
      <c r="Q19" s="19">
        <v>1990</v>
      </c>
      <c r="R19" s="19">
        <f>89110+650</f>
        <v>89760</v>
      </c>
      <c r="S19" s="9">
        <v>0</v>
      </c>
      <c r="T19" s="17">
        <v>20180</v>
      </c>
      <c r="U19" s="3" t="s">
        <v>14</v>
      </c>
    </row>
    <row r="20" spans="1:21" x14ac:dyDescent="0.3">
      <c r="A20" s="8">
        <v>45678</v>
      </c>
      <c r="B20" s="11">
        <f>2225+39755</f>
        <v>41980</v>
      </c>
      <c r="C20" s="9">
        <f t="shared" si="0"/>
        <v>38163.63636363636</v>
      </c>
      <c r="D20" s="9">
        <f t="shared" si="1"/>
        <v>3816.363636363636</v>
      </c>
      <c r="E20" s="11">
        <f>1850+15375</f>
        <v>17225</v>
      </c>
      <c r="F20" s="9">
        <f t="shared" si="2"/>
        <v>14354.166666666668</v>
      </c>
      <c r="G20" s="9">
        <f t="shared" si="3"/>
        <v>2870.8333333333339</v>
      </c>
      <c r="H20" s="11">
        <f>540+1610</f>
        <v>2150</v>
      </c>
      <c r="I20" s="9">
        <f t="shared" si="4"/>
        <v>1954.5454545454543</v>
      </c>
      <c r="J20" s="9">
        <f t="shared" si="5"/>
        <v>195.45454545454544</v>
      </c>
      <c r="K20" s="11">
        <f>800+300+3450</f>
        <v>4550</v>
      </c>
      <c r="L20" s="9">
        <f t="shared" si="6"/>
        <v>3791.666666666667</v>
      </c>
      <c r="M20" s="9">
        <f t="shared" si="7"/>
        <v>758.33333333333348</v>
      </c>
      <c r="N20" s="11">
        <f>2999.99+900</f>
        <v>3899.99</v>
      </c>
      <c r="O20" s="9">
        <f t="shared" si="8"/>
        <v>3249.9916666666668</v>
      </c>
      <c r="P20" s="9">
        <f t="shared" si="9"/>
        <v>649.99833333333345</v>
      </c>
      <c r="Q20" s="9">
        <v>0</v>
      </c>
      <c r="R20" s="11">
        <f>2650+6064.99+61090</f>
        <v>69804.990000000005</v>
      </c>
      <c r="S20" s="11">
        <v>860</v>
      </c>
      <c r="T20" s="17">
        <f>44195+8796</f>
        <v>52991</v>
      </c>
      <c r="U20" s="3"/>
    </row>
    <row r="21" spans="1:21" x14ac:dyDescent="0.3">
      <c r="A21" s="8">
        <v>45679</v>
      </c>
      <c r="B21" s="11">
        <v>22780</v>
      </c>
      <c r="C21" s="9">
        <f t="shared" si="0"/>
        <v>20709.090909090908</v>
      </c>
      <c r="D21" s="9">
        <f t="shared" si="1"/>
        <v>2070.909090909091</v>
      </c>
      <c r="E21" s="11">
        <v>9005</v>
      </c>
      <c r="F21" s="9">
        <f t="shared" si="2"/>
        <v>7504.166666666667</v>
      </c>
      <c r="G21" s="9">
        <f t="shared" si="3"/>
        <v>1500.8333333333335</v>
      </c>
      <c r="H21" s="11">
        <v>965</v>
      </c>
      <c r="I21" s="9">
        <f t="shared" si="4"/>
        <v>877.27272727272725</v>
      </c>
      <c r="J21" s="9">
        <f t="shared" si="5"/>
        <v>87.727272727272734</v>
      </c>
      <c r="K21" s="11">
        <v>2550</v>
      </c>
      <c r="L21" s="9">
        <f t="shared" si="6"/>
        <v>2125</v>
      </c>
      <c r="M21" s="9">
        <f t="shared" si="7"/>
        <v>425</v>
      </c>
      <c r="N21" s="9">
        <v>0</v>
      </c>
      <c r="O21" s="9">
        <f t="shared" si="8"/>
        <v>0</v>
      </c>
      <c r="P21" s="9">
        <f t="shared" si="9"/>
        <v>0</v>
      </c>
      <c r="Q21" s="11">
        <v>9525</v>
      </c>
      <c r="R21" s="11">
        <v>25775</v>
      </c>
      <c r="S21" s="9">
        <v>0</v>
      </c>
      <c r="T21" s="14">
        <v>0</v>
      </c>
      <c r="U21" s="3"/>
    </row>
    <row r="22" spans="1:21" x14ac:dyDescent="0.3">
      <c r="A22" s="8">
        <v>45680</v>
      </c>
      <c r="B22" s="11">
        <f>780+16315</f>
        <v>17095</v>
      </c>
      <c r="C22" s="9">
        <f t="shared" si="0"/>
        <v>15540.90909090909</v>
      </c>
      <c r="D22" s="9">
        <f t="shared" si="1"/>
        <v>1554.090909090909</v>
      </c>
      <c r="E22" s="11">
        <f>2380+1650</f>
        <v>4030</v>
      </c>
      <c r="F22" s="9">
        <f t="shared" si="2"/>
        <v>3358.3333333333335</v>
      </c>
      <c r="G22" s="9">
        <f t="shared" si="3"/>
        <v>671.66666666666674</v>
      </c>
      <c r="H22" s="11">
        <v>645</v>
      </c>
      <c r="I22" s="9">
        <f t="shared" si="4"/>
        <v>586.36363636363626</v>
      </c>
      <c r="J22" s="9">
        <f t="shared" si="5"/>
        <v>58.636363636363626</v>
      </c>
      <c r="K22" s="11">
        <v>1500</v>
      </c>
      <c r="L22" s="9">
        <f t="shared" si="6"/>
        <v>1250</v>
      </c>
      <c r="M22" s="9">
        <f t="shared" si="7"/>
        <v>250</v>
      </c>
      <c r="N22" s="9">
        <v>0</v>
      </c>
      <c r="O22" s="9">
        <f t="shared" si="8"/>
        <v>0</v>
      </c>
      <c r="P22" s="9">
        <f t="shared" si="9"/>
        <v>0</v>
      </c>
      <c r="Q22" s="9">
        <v>0</v>
      </c>
      <c r="R22" s="11">
        <f>3160+20110</f>
        <v>23270</v>
      </c>
      <c r="S22" s="9">
        <v>0</v>
      </c>
      <c r="T22" s="14">
        <v>0</v>
      </c>
      <c r="U22" s="3"/>
    </row>
    <row r="23" spans="1:21" x14ac:dyDescent="0.3">
      <c r="A23" s="8">
        <v>45681</v>
      </c>
      <c r="B23" s="11">
        <f>3100+2895+60900</f>
        <v>66895</v>
      </c>
      <c r="C23" s="9">
        <f t="shared" si="0"/>
        <v>60813.63636363636</v>
      </c>
      <c r="D23" s="9">
        <f t="shared" si="1"/>
        <v>6081.363636363636</v>
      </c>
      <c r="E23" s="11">
        <f>8450+16610</f>
        <v>25060</v>
      </c>
      <c r="F23" s="9">
        <f t="shared" si="2"/>
        <v>20883.333333333336</v>
      </c>
      <c r="G23" s="9">
        <f t="shared" si="3"/>
        <v>4176.666666666667</v>
      </c>
      <c r="H23" s="11">
        <f>925+1795</f>
        <v>2720</v>
      </c>
      <c r="I23" s="9">
        <f t="shared" si="4"/>
        <v>2472.7272727272725</v>
      </c>
      <c r="J23" s="9">
        <f t="shared" si="5"/>
        <v>247.27272727272725</v>
      </c>
      <c r="K23" s="11">
        <f>2600+300+6450</f>
        <v>9350</v>
      </c>
      <c r="L23" s="9">
        <f t="shared" si="6"/>
        <v>7791.666666666667</v>
      </c>
      <c r="M23" s="9">
        <f t="shared" si="7"/>
        <v>1558.3333333333335</v>
      </c>
      <c r="N23" s="9">
        <v>0</v>
      </c>
      <c r="O23" s="9">
        <f t="shared" si="8"/>
        <v>0</v>
      </c>
      <c r="P23" s="9">
        <f t="shared" si="9"/>
        <v>0</v>
      </c>
      <c r="Q23" s="11">
        <f>600+5907</f>
        <v>6507</v>
      </c>
      <c r="R23" s="11">
        <f>14475+3195+79848</f>
        <v>97518</v>
      </c>
      <c r="S23" s="9">
        <v>0</v>
      </c>
      <c r="T23" s="17">
        <v>24075</v>
      </c>
      <c r="U23" s="3"/>
    </row>
    <row r="24" spans="1:21" x14ac:dyDescent="0.3">
      <c r="A24" s="8">
        <v>45682</v>
      </c>
      <c r="B24" s="11">
        <f>11550+1590+6995+36792.9</f>
        <v>56927.9</v>
      </c>
      <c r="C24" s="9">
        <f t="shared" si="0"/>
        <v>51752.63636363636</v>
      </c>
      <c r="D24" s="9">
        <f t="shared" si="1"/>
        <v>5175.2636363636366</v>
      </c>
      <c r="E24" s="11">
        <f>11725+6150+5275+595+1295+17876.62</f>
        <v>42916.619999999995</v>
      </c>
      <c r="F24" s="9">
        <f t="shared" si="2"/>
        <v>35763.85</v>
      </c>
      <c r="G24" s="9">
        <f t="shared" si="3"/>
        <v>7152.77</v>
      </c>
      <c r="H24" s="11">
        <f>75+1025+75+200+190+550</f>
        <v>2115</v>
      </c>
      <c r="I24" s="9">
        <f t="shared" si="4"/>
        <v>1922.7272727272725</v>
      </c>
      <c r="J24" s="9">
        <f t="shared" si="5"/>
        <v>192.27272727272725</v>
      </c>
      <c r="K24" s="11">
        <f>2800+1700+1200+300+900+4254.34</f>
        <v>11154.34</v>
      </c>
      <c r="L24" s="9">
        <f t="shared" si="6"/>
        <v>9295.2833333333347</v>
      </c>
      <c r="M24" s="9">
        <f t="shared" si="7"/>
        <v>1859.0566666666671</v>
      </c>
      <c r="N24" s="11">
        <f>800+600+1481.14</f>
        <v>2881.1400000000003</v>
      </c>
      <c r="O24" s="9">
        <f t="shared" si="8"/>
        <v>2400.9500000000003</v>
      </c>
      <c r="P24" s="9">
        <f t="shared" si="9"/>
        <v>480.19000000000005</v>
      </c>
      <c r="Q24" s="11">
        <f>5075</f>
        <v>5075</v>
      </c>
      <c r="R24" s="11">
        <f>9525+21225+6550+2685+9980+60955</f>
        <v>110920</v>
      </c>
      <c r="S24" s="11">
        <v>6580</v>
      </c>
      <c r="T24" s="17">
        <f>16010+48895</f>
        <v>64905</v>
      </c>
      <c r="U24" s="3"/>
    </row>
    <row r="25" spans="1:21" x14ac:dyDescent="0.3">
      <c r="A25" s="8">
        <v>45683</v>
      </c>
      <c r="B25" s="11">
        <f>5585+40550+34320</f>
        <v>80455</v>
      </c>
      <c r="C25" s="9">
        <f t="shared" si="0"/>
        <v>73140.909090909088</v>
      </c>
      <c r="D25" s="9">
        <f t="shared" si="1"/>
        <v>7314.090909090909</v>
      </c>
      <c r="E25" s="11">
        <f>4185+10125</f>
        <v>14310</v>
      </c>
      <c r="F25" s="9">
        <f t="shared" si="2"/>
        <v>11925</v>
      </c>
      <c r="G25" s="9">
        <f t="shared" si="3"/>
        <v>2385</v>
      </c>
      <c r="H25" s="11">
        <f>1685+600</f>
        <v>2285</v>
      </c>
      <c r="I25" s="9">
        <f t="shared" si="4"/>
        <v>2077.272727272727</v>
      </c>
      <c r="J25" s="9">
        <f t="shared" si="5"/>
        <v>207.72727272727272</v>
      </c>
      <c r="K25" s="11">
        <f>1500+1800</f>
        <v>3300</v>
      </c>
      <c r="L25" s="9">
        <f t="shared" si="6"/>
        <v>2750</v>
      </c>
      <c r="M25" s="9">
        <f t="shared" si="7"/>
        <v>550</v>
      </c>
      <c r="N25" s="9">
        <v>0</v>
      </c>
      <c r="O25" s="9">
        <f t="shared" si="8"/>
        <v>0</v>
      </c>
      <c r="P25" s="9">
        <f t="shared" si="9"/>
        <v>0</v>
      </c>
      <c r="Q25" s="11">
        <v>4265</v>
      </c>
      <c r="R25" s="11">
        <f>11270+37970+46845</f>
        <v>96085</v>
      </c>
      <c r="S25" s="9">
        <v>0</v>
      </c>
      <c r="T25" s="17">
        <f>15000+9505</f>
        <v>24505</v>
      </c>
      <c r="U25" s="3"/>
    </row>
    <row r="26" spans="1:21" x14ac:dyDescent="0.3">
      <c r="A26" s="8">
        <v>45685</v>
      </c>
      <c r="B26" s="11">
        <f>7040+27200</f>
        <v>34240</v>
      </c>
      <c r="C26" s="9">
        <f t="shared" si="0"/>
        <v>31127.272727272724</v>
      </c>
      <c r="D26" s="9">
        <f t="shared" si="1"/>
        <v>3112.7272727272725</v>
      </c>
      <c r="E26" s="11">
        <f>8100+2800+11775</f>
        <v>22675</v>
      </c>
      <c r="F26" s="9">
        <f t="shared" si="2"/>
        <v>18895.833333333336</v>
      </c>
      <c r="G26" s="9">
        <f t="shared" si="3"/>
        <v>3779.1666666666674</v>
      </c>
      <c r="H26" s="11">
        <f>150+905+1010</f>
        <v>2065</v>
      </c>
      <c r="I26" s="9">
        <f t="shared" si="4"/>
        <v>1877.272727272727</v>
      </c>
      <c r="J26" s="9">
        <f t="shared" si="5"/>
        <v>187.72727272727272</v>
      </c>
      <c r="K26" s="11">
        <f>1800+1450+3150</f>
        <v>6400</v>
      </c>
      <c r="L26" s="9">
        <f t="shared" si="6"/>
        <v>5333.3333333333339</v>
      </c>
      <c r="M26" s="9">
        <f t="shared" si="7"/>
        <v>1066.6666666666667</v>
      </c>
      <c r="N26" s="11">
        <f>750+1050</f>
        <v>1800</v>
      </c>
      <c r="O26" s="9">
        <f t="shared" si="8"/>
        <v>1500</v>
      </c>
      <c r="P26" s="9">
        <f t="shared" si="9"/>
        <v>300</v>
      </c>
      <c r="Q26" s="11">
        <v>2115</v>
      </c>
      <c r="R26" s="11">
        <f>10050+12945+42070</f>
        <v>65065</v>
      </c>
      <c r="S26" s="9">
        <v>0</v>
      </c>
      <c r="T26" s="17">
        <f>28955+14320</f>
        <v>43275</v>
      </c>
      <c r="U26" s="3"/>
    </row>
    <row r="27" spans="1:21" x14ac:dyDescent="0.3">
      <c r="A27" s="8">
        <v>45686</v>
      </c>
      <c r="B27" s="11">
        <f>14770+7085+10510+250</f>
        <v>32615</v>
      </c>
      <c r="C27" s="9">
        <f t="shared" si="0"/>
        <v>29649.999999999996</v>
      </c>
      <c r="D27" s="9">
        <f t="shared" si="1"/>
        <v>2965</v>
      </c>
      <c r="E27" s="11">
        <f>14825+5925+4140+14150</f>
        <v>39040</v>
      </c>
      <c r="F27" s="9">
        <f t="shared" si="2"/>
        <v>32533.333333333336</v>
      </c>
      <c r="G27" s="9">
        <f t="shared" si="3"/>
        <v>6506.6666666666679</v>
      </c>
      <c r="H27" s="11">
        <f>400+600</f>
        <v>1000</v>
      </c>
      <c r="I27" s="9">
        <f t="shared" si="4"/>
        <v>909.09090909090901</v>
      </c>
      <c r="J27" s="9">
        <f t="shared" si="5"/>
        <v>90.909090909090907</v>
      </c>
      <c r="K27" s="11">
        <f>1650+750+1050+2200</f>
        <v>5650</v>
      </c>
      <c r="L27" s="9">
        <f t="shared" si="6"/>
        <v>4708.3333333333339</v>
      </c>
      <c r="M27" s="9">
        <f t="shared" si="7"/>
        <v>941.66666666666686</v>
      </c>
      <c r="N27" s="11">
        <f>1050+450+1000</f>
        <v>2500</v>
      </c>
      <c r="O27" s="9">
        <f t="shared" si="8"/>
        <v>2083.3333333333335</v>
      </c>
      <c r="P27" s="9">
        <f t="shared" si="9"/>
        <v>416.66666666666674</v>
      </c>
      <c r="Q27" s="11">
        <v>2900</v>
      </c>
      <c r="R27" s="11">
        <f>32695+14210+15700+15300</f>
        <v>77905</v>
      </c>
      <c r="S27" s="9">
        <v>0</v>
      </c>
      <c r="T27" s="14">
        <v>13230</v>
      </c>
      <c r="U27" s="3"/>
    </row>
    <row r="28" spans="1:21" x14ac:dyDescent="0.3">
      <c r="A28" s="8">
        <v>45687</v>
      </c>
      <c r="B28" s="11">
        <f>16595+17895</f>
        <v>34490</v>
      </c>
      <c r="C28" s="9">
        <f t="shared" si="0"/>
        <v>31354.545454545452</v>
      </c>
      <c r="D28" s="9">
        <f t="shared" si="1"/>
        <v>3135.4545454545455</v>
      </c>
      <c r="E28" s="11">
        <f>8410+6470</f>
        <v>14880</v>
      </c>
      <c r="F28" s="9">
        <f t="shared" si="2"/>
        <v>12400</v>
      </c>
      <c r="G28" s="9">
        <f t="shared" si="3"/>
        <v>2480</v>
      </c>
      <c r="H28" s="11">
        <f>875+1810</f>
        <v>2685</v>
      </c>
      <c r="I28" s="9">
        <f t="shared" si="4"/>
        <v>2440.9090909090905</v>
      </c>
      <c r="J28" s="9">
        <f t="shared" si="5"/>
        <v>244.09090909090907</v>
      </c>
      <c r="K28" s="11">
        <f>3400+2100</f>
        <v>5500</v>
      </c>
      <c r="L28" s="9">
        <f t="shared" si="6"/>
        <v>4583.3333333333339</v>
      </c>
      <c r="M28" s="9">
        <f t="shared" si="7"/>
        <v>916.66666666666686</v>
      </c>
      <c r="N28" s="11">
        <v>425</v>
      </c>
      <c r="O28" s="9">
        <f t="shared" si="8"/>
        <v>354.16666666666669</v>
      </c>
      <c r="P28" s="9">
        <f t="shared" si="9"/>
        <v>70.833333333333343</v>
      </c>
      <c r="Q28" s="9">
        <v>0</v>
      </c>
      <c r="R28" s="11">
        <f>29280+28700</f>
        <v>57980</v>
      </c>
      <c r="S28" s="9">
        <v>1750</v>
      </c>
      <c r="T28" s="14">
        <f>8745+11100</f>
        <v>19845</v>
      </c>
      <c r="U28" s="3"/>
    </row>
    <row r="29" spans="1:21" x14ac:dyDescent="0.3">
      <c r="A29" s="8">
        <v>45688</v>
      </c>
      <c r="B29" s="11">
        <f>35200+13330</f>
        <v>48530</v>
      </c>
      <c r="C29" s="9">
        <f t="shared" si="0"/>
        <v>44118.181818181816</v>
      </c>
      <c r="D29" s="9">
        <f t="shared" si="1"/>
        <v>4411.818181818182</v>
      </c>
      <c r="E29" s="11">
        <f>10050+10590+7950</f>
        <v>28590</v>
      </c>
      <c r="F29" s="9">
        <f t="shared" si="2"/>
        <v>23825</v>
      </c>
      <c r="G29" s="9">
        <f t="shared" si="3"/>
        <v>4765</v>
      </c>
      <c r="H29" s="11">
        <f>2405+300</f>
        <v>2705</v>
      </c>
      <c r="I29" s="9">
        <f t="shared" si="4"/>
        <v>2459.090909090909</v>
      </c>
      <c r="J29" s="9">
        <f t="shared" si="5"/>
        <v>245.90909090909091</v>
      </c>
      <c r="K29" s="11">
        <f>2000+3600+1000</f>
        <v>6600</v>
      </c>
      <c r="L29" s="9">
        <f t="shared" si="6"/>
        <v>5500</v>
      </c>
      <c r="M29" s="9">
        <f t="shared" si="7"/>
        <v>1100</v>
      </c>
      <c r="N29" s="11">
        <v>750</v>
      </c>
      <c r="O29" s="9">
        <f t="shared" si="8"/>
        <v>625</v>
      </c>
      <c r="P29" s="9">
        <f t="shared" si="9"/>
        <v>125</v>
      </c>
      <c r="Q29" s="11">
        <f>6250+7330</f>
        <v>13580</v>
      </c>
      <c r="R29" s="11">
        <f>5800+52545+15250</f>
        <v>73595</v>
      </c>
      <c r="S29" s="9">
        <v>3075</v>
      </c>
      <c r="T29" s="14">
        <f>3820+13630+7575</f>
        <v>25025</v>
      </c>
      <c r="U29" s="3"/>
    </row>
    <row r="30" spans="1:21" x14ac:dyDescent="0.3">
      <c r="B30" s="6">
        <f>SUM(B3:B29)</f>
        <v>1245475.23</v>
      </c>
      <c r="C30" s="10">
        <f>B30/1.1</f>
        <v>1132250.209090909</v>
      </c>
      <c r="D30" s="10">
        <f t="shared" ref="D30" si="10">C30*10/100</f>
        <v>113225.0209090909</v>
      </c>
      <c r="E30" s="6">
        <f>SUM(E3:E29)</f>
        <v>631928.85000000009</v>
      </c>
      <c r="F30" s="10">
        <f t="shared" ref="F30" si="11">E30/1.2</f>
        <v>526607.37500000012</v>
      </c>
      <c r="G30" s="10">
        <f t="shared" ref="G30" si="12">F30*20/100</f>
        <v>105321.47500000002</v>
      </c>
      <c r="H30" s="6">
        <f>SUM(H3:H29)</f>
        <v>58474.630000000005</v>
      </c>
      <c r="I30" s="10">
        <f t="shared" ref="I30" si="13">H30/1.1</f>
        <v>53158.754545454547</v>
      </c>
      <c r="J30" s="10">
        <f t="shared" ref="J30" si="14">I30*10/100</f>
        <v>5315.875454545454</v>
      </c>
      <c r="K30" s="6">
        <f>SUM(K3:K29)</f>
        <v>157278.39999999999</v>
      </c>
      <c r="L30" s="10">
        <f t="shared" ref="L30" si="15">K30/1.2</f>
        <v>131065.33333333333</v>
      </c>
      <c r="M30" s="10">
        <f t="shared" ref="M30" si="16">L30*20/100</f>
        <v>26213.066666666666</v>
      </c>
      <c r="N30" s="6">
        <f>SUM(N3:N29)</f>
        <v>32107.619999999995</v>
      </c>
      <c r="O30" s="10">
        <f t="shared" ref="O30" si="17">N30/1.2</f>
        <v>26756.35</v>
      </c>
      <c r="P30" s="10">
        <f t="shared" ref="P30" si="18">O30*20/100</f>
        <v>5351.27</v>
      </c>
      <c r="Q30" s="6">
        <f>SUM(Q3:Q29)</f>
        <v>130832</v>
      </c>
      <c r="R30" s="6">
        <f>SUM(R3:R29)</f>
        <v>1994432.73</v>
      </c>
      <c r="S30" s="6">
        <f>SUM(S3:S29)</f>
        <v>19415</v>
      </c>
      <c r="T30" s="6">
        <f>SUM(T4:T29)</f>
        <v>947419.5</v>
      </c>
      <c r="U30" s="3"/>
    </row>
    <row r="31" spans="1:21" x14ac:dyDescent="0.3">
      <c r="A31" s="4" t="s">
        <v>17</v>
      </c>
      <c r="B31" s="5">
        <f>B32-B30</f>
        <v>0</v>
      </c>
      <c r="C31" s="5"/>
      <c r="D31" s="5"/>
      <c r="E31" s="5">
        <f>E32-E30</f>
        <v>6754.9999999998836</v>
      </c>
      <c r="F31" s="5"/>
      <c r="G31" s="5"/>
      <c r="H31" s="5">
        <f>H32-H30</f>
        <v>974.99999999999272</v>
      </c>
      <c r="I31" s="5"/>
      <c r="J31" s="5"/>
      <c r="K31" s="5">
        <f>K32-K30</f>
        <v>1200</v>
      </c>
      <c r="L31" s="5"/>
      <c r="M31" s="5"/>
      <c r="N31" s="5">
        <f>N32-N30</f>
        <v>0</v>
      </c>
      <c r="O31" s="5"/>
      <c r="P31" s="5"/>
      <c r="Q31" s="5">
        <f>Q32-Q30</f>
        <v>2890</v>
      </c>
      <c r="R31" s="5">
        <f>R32-R30</f>
        <v>6040</v>
      </c>
      <c r="S31" s="5">
        <f>S32-S30</f>
        <v>0</v>
      </c>
      <c r="T31" s="5">
        <f>T32-T30</f>
        <v>28645</v>
      </c>
    </row>
    <row r="32" spans="1:21" x14ac:dyDescent="0.3">
      <c r="B32" s="7">
        <f>637557.96+607917.27</f>
        <v>1245475.23</v>
      </c>
      <c r="C32" s="7"/>
      <c r="D32" s="7"/>
      <c r="E32" s="7">
        <f>333081.49+305602.36</f>
        <v>638683.85</v>
      </c>
      <c r="F32" s="7"/>
      <c r="G32" s="7"/>
      <c r="H32" s="7">
        <f>27882.67+31566.96</f>
        <v>59449.63</v>
      </c>
      <c r="I32" s="7"/>
      <c r="J32" s="7"/>
      <c r="K32" s="7">
        <f>84390+74088.4</f>
        <v>158478.39999999999</v>
      </c>
      <c r="L32" s="7"/>
      <c r="M32" s="7"/>
      <c r="N32" s="7">
        <f>17442.62+14665</f>
        <v>32107.62</v>
      </c>
      <c r="O32" s="7"/>
      <c r="P32" s="7"/>
      <c r="Q32" s="7">
        <f>72252+61470</f>
        <v>133722</v>
      </c>
      <c r="R32" s="7">
        <f>1028102.74+972369.99</f>
        <v>2000472.73</v>
      </c>
      <c r="S32" s="7">
        <f>12805+6610</f>
        <v>19415</v>
      </c>
      <c r="T32" s="7">
        <f>553630+422434.5</f>
        <v>976064.5</v>
      </c>
    </row>
    <row r="33" spans="1:20" x14ac:dyDescent="0.3">
      <c r="A33" s="4" t="s">
        <v>15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</row>
    <row r="34" spans="1:20" x14ac:dyDescent="0.3">
      <c r="A34" s="4" t="s">
        <v>16</v>
      </c>
      <c r="B34" s="5">
        <v>0</v>
      </c>
      <c r="C34" s="5"/>
      <c r="D34" s="5"/>
      <c r="E34" s="5">
        <v>10050</v>
      </c>
      <c r="F34" s="5"/>
      <c r="G34" s="5"/>
      <c r="H34" s="5">
        <v>0</v>
      </c>
      <c r="I34" s="5"/>
      <c r="J34" s="5"/>
      <c r="K34" s="5">
        <v>2000</v>
      </c>
      <c r="L34" s="5"/>
      <c r="M34" s="5"/>
      <c r="N34" s="5">
        <v>0</v>
      </c>
      <c r="O34" s="5"/>
      <c r="P34" s="5"/>
      <c r="Q34" s="5">
        <v>6250</v>
      </c>
      <c r="R34" s="5">
        <v>5800</v>
      </c>
      <c r="S34" s="5">
        <v>0</v>
      </c>
      <c r="T34" s="5">
        <v>0</v>
      </c>
    </row>
    <row r="35" spans="1:20" x14ac:dyDescent="0.3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1:20" x14ac:dyDescent="0.3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1:20" x14ac:dyDescent="0.3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1:20" x14ac:dyDescent="0.3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1:20" x14ac:dyDescent="0.3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1:20" x14ac:dyDescent="0.3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</row>
  </sheetData>
  <mergeCells count="1">
    <mergeCell ref="S1:T1"/>
  </mergeCells>
  <phoneticPr fontId="3" type="noConversion"/>
  <pageMargins left="0.7" right="0.7" top="0.75" bottom="0.75" header="0.3" footer="0.3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5"/>
  <sheetViews>
    <sheetView topLeftCell="A4" workbookViewId="0">
      <selection activeCell="A22" sqref="A22:XFD22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19" width="11.6640625" customWidth="1"/>
    <col min="20" max="21" width="13.88671875" customWidth="1"/>
    <col min="22" max="22" width="32.109375" style="4" bestFit="1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39" t="s">
        <v>8</v>
      </c>
      <c r="U1" s="40"/>
      <c r="V1" s="12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">
      <c r="A3" s="8">
        <v>45689</v>
      </c>
      <c r="B3" s="11">
        <f>350+750+17620+13360</f>
        <v>32080</v>
      </c>
      <c r="C3" s="9">
        <f>B3/1.1</f>
        <v>29163.63636363636</v>
      </c>
      <c r="D3" s="9">
        <f>C3*0.1</f>
        <v>2916.363636363636</v>
      </c>
      <c r="E3" s="11">
        <f>10850+29125+2150+11100+10700+2300</f>
        <v>66225</v>
      </c>
      <c r="F3" s="9">
        <f>E3/1.2</f>
        <v>55187.5</v>
      </c>
      <c r="G3" s="9">
        <f>F3*0.2</f>
        <v>11037.5</v>
      </c>
      <c r="H3" s="11">
        <f>170+150+815+135</f>
        <v>1270</v>
      </c>
      <c r="I3" s="9">
        <f>H3/1.1</f>
        <v>1154.5454545454545</v>
      </c>
      <c r="J3" s="9">
        <f>I3*0.1</f>
        <v>115.45454545454545</v>
      </c>
      <c r="K3" s="11">
        <f>2200+3600+3400+1800</f>
        <v>11000</v>
      </c>
      <c r="L3" s="9">
        <f>K3/1.2</f>
        <v>9166.6666666666679</v>
      </c>
      <c r="M3" s="9">
        <f>L3*0.2</f>
        <v>1833.3333333333337</v>
      </c>
      <c r="N3" s="11">
        <v>1050</v>
      </c>
      <c r="O3" s="9">
        <f>N3/1.2</f>
        <v>875</v>
      </c>
      <c r="P3" s="9">
        <f>O3*0.2</f>
        <v>175</v>
      </c>
      <c r="Q3" s="11">
        <f>1050+785+1585+2300</f>
        <v>5720</v>
      </c>
      <c r="R3" s="11">
        <f>13570+33625+2150+32150+24410</f>
        <v>105905</v>
      </c>
      <c r="S3" s="9">
        <v>0</v>
      </c>
      <c r="T3" s="11">
        <v>200</v>
      </c>
      <c r="U3" s="17">
        <f>4525+11000+23535+37190+79895+1000</f>
        <v>157145</v>
      </c>
      <c r="V3" s="18" t="s">
        <v>18</v>
      </c>
    </row>
    <row r="4" spans="1:22" x14ac:dyDescent="0.3">
      <c r="A4" s="8">
        <v>45690</v>
      </c>
      <c r="B4" s="11">
        <f>33355+42425</f>
        <v>75780</v>
      </c>
      <c r="C4" s="9">
        <f t="shared" ref="C4:C28" si="0">B4/1.1</f>
        <v>68890.909090909088</v>
      </c>
      <c r="D4" s="9">
        <f t="shared" ref="D4:D28" si="1">C4*0.1</f>
        <v>6889.090909090909</v>
      </c>
      <c r="E4" s="11">
        <f>3550+8320</f>
        <v>11870</v>
      </c>
      <c r="F4" s="9">
        <f t="shared" ref="F4:F29" si="2">E4/1.2</f>
        <v>9891.6666666666679</v>
      </c>
      <c r="G4" s="9">
        <f t="shared" ref="G4:G28" si="3">F4*0.2</f>
        <v>1978.3333333333337</v>
      </c>
      <c r="H4" s="11">
        <f>860+1195</f>
        <v>2055</v>
      </c>
      <c r="I4" s="9">
        <f t="shared" ref="I4:I29" si="4">H4/1.1</f>
        <v>1868.181818181818</v>
      </c>
      <c r="J4" s="9">
        <f t="shared" ref="J4:J28" si="5">I4*0.1</f>
        <v>186.81818181818181</v>
      </c>
      <c r="K4" s="11">
        <f>1600+2100</f>
        <v>3700</v>
      </c>
      <c r="L4" s="9">
        <f t="shared" ref="L4:L29" si="6">K4/1.2</f>
        <v>3083.3333333333335</v>
      </c>
      <c r="M4" s="9">
        <f t="shared" ref="M4:M28" si="7">L4*0.2</f>
        <v>616.66666666666674</v>
      </c>
      <c r="N4" s="11">
        <f>310+200</f>
        <v>510</v>
      </c>
      <c r="O4" s="9">
        <f t="shared" ref="O4:O29" si="8">N4/1.2</f>
        <v>425</v>
      </c>
      <c r="P4" s="9">
        <f t="shared" ref="P4:P28" si="9">O4*0.2</f>
        <v>85</v>
      </c>
      <c r="Q4" s="11">
        <v>4270</v>
      </c>
      <c r="R4" s="11">
        <f>37485+42095</f>
        <v>79580</v>
      </c>
      <c r="S4" s="11">
        <f>7875+2190</f>
        <v>10065</v>
      </c>
      <c r="T4" s="9">
        <v>0</v>
      </c>
      <c r="U4" s="17">
        <v>2700</v>
      </c>
      <c r="V4" s="3"/>
    </row>
    <row r="5" spans="1:22" x14ac:dyDescent="0.3">
      <c r="A5" s="8">
        <v>45692</v>
      </c>
      <c r="B5" s="11">
        <v>29620</v>
      </c>
      <c r="C5" s="9">
        <f t="shared" si="0"/>
        <v>26927.272727272724</v>
      </c>
      <c r="D5" s="9">
        <f t="shared" si="1"/>
        <v>2692.7272727272725</v>
      </c>
      <c r="E5" s="11">
        <v>12615</v>
      </c>
      <c r="F5" s="9">
        <f t="shared" si="2"/>
        <v>10512.5</v>
      </c>
      <c r="G5" s="9">
        <f t="shared" si="3"/>
        <v>2102.5</v>
      </c>
      <c r="H5" s="11">
        <v>840</v>
      </c>
      <c r="I5" s="9">
        <f t="shared" si="4"/>
        <v>763.63636363636363</v>
      </c>
      <c r="J5" s="9">
        <f t="shared" si="5"/>
        <v>76.36363636363636</v>
      </c>
      <c r="K5" s="11">
        <v>3000</v>
      </c>
      <c r="L5" s="9">
        <f t="shared" si="6"/>
        <v>2500</v>
      </c>
      <c r="M5" s="9">
        <f t="shared" si="7"/>
        <v>500</v>
      </c>
      <c r="N5" s="9">
        <v>0</v>
      </c>
      <c r="O5" s="9">
        <f t="shared" si="8"/>
        <v>0</v>
      </c>
      <c r="P5" s="9">
        <f t="shared" si="9"/>
        <v>0</v>
      </c>
      <c r="Q5" s="11">
        <v>5975</v>
      </c>
      <c r="R5" s="11">
        <v>34685</v>
      </c>
      <c r="S5" s="11">
        <v>5415</v>
      </c>
      <c r="T5" s="9">
        <v>0</v>
      </c>
      <c r="U5" s="17">
        <v>15650</v>
      </c>
      <c r="V5" s="3"/>
    </row>
    <row r="6" spans="1:22" x14ac:dyDescent="0.3">
      <c r="A6" s="8">
        <v>45693</v>
      </c>
      <c r="B6" s="11">
        <f>6930+7000</f>
        <v>13930</v>
      </c>
      <c r="C6" s="9">
        <f t="shared" si="0"/>
        <v>12663.636363636362</v>
      </c>
      <c r="D6" s="9">
        <f t="shared" si="1"/>
        <v>1266.3636363636363</v>
      </c>
      <c r="E6" s="11">
        <f>3650+7000</f>
        <v>10650</v>
      </c>
      <c r="F6" s="9">
        <f t="shared" si="2"/>
        <v>8875</v>
      </c>
      <c r="G6" s="9">
        <f t="shared" si="3"/>
        <v>1775</v>
      </c>
      <c r="H6" s="9">
        <v>0</v>
      </c>
      <c r="I6" s="9">
        <f t="shared" si="4"/>
        <v>0</v>
      </c>
      <c r="J6" s="9">
        <f t="shared" si="5"/>
        <v>0</v>
      </c>
      <c r="K6" s="11">
        <v>900</v>
      </c>
      <c r="L6" s="9">
        <f t="shared" si="6"/>
        <v>750</v>
      </c>
      <c r="M6" s="9">
        <f t="shared" si="7"/>
        <v>150</v>
      </c>
      <c r="N6" s="9">
        <v>0</v>
      </c>
      <c r="O6" s="9">
        <f t="shared" si="8"/>
        <v>0</v>
      </c>
      <c r="P6" s="9">
        <f t="shared" si="9"/>
        <v>0</v>
      </c>
      <c r="Q6" s="11">
        <f>1985+1000+7000</f>
        <v>9985</v>
      </c>
      <c r="R6" s="11">
        <f>9495+6000</f>
        <v>15495</v>
      </c>
      <c r="S6" s="9">
        <v>0</v>
      </c>
      <c r="T6" s="9">
        <v>0</v>
      </c>
      <c r="U6" s="17">
        <f>23175+600</f>
        <v>23775</v>
      </c>
      <c r="V6" s="3"/>
    </row>
    <row r="7" spans="1:22" x14ac:dyDescent="0.3">
      <c r="A7" s="8">
        <v>45694</v>
      </c>
      <c r="B7" s="11">
        <f>900+39220</f>
        <v>40120</v>
      </c>
      <c r="C7" s="9">
        <f t="shared" si="0"/>
        <v>36472.727272727272</v>
      </c>
      <c r="D7" s="9">
        <f t="shared" si="1"/>
        <v>3647.2727272727275</v>
      </c>
      <c r="E7" s="11">
        <f>1850+2100+5025+19910</f>
        <v>28885</v>
      </c>
      <c r="F7" s="9">
        <f t="shared" si="2"/>
        <v>24070.833333333336</v>
      </c>
      <c r="G7" s="9">
        <f t="shared" si="3"/>
        <v>4814.166666666667</v>
      </c>
      <c r="H7" s="11">
        <f>1350+150+3395</f>
        <v>4895</v>
      </c>
      <c r="I7" s="9">
        <f t="shared" si="4"/>
        <v>4450</v>
      </c>
      <c r="J7" s="9">
        <f t="shared" si="5"/>
        <v>445</v>
      </c>
      <c r="K7" s="11">
        <f>800+400+3900</f>
        <v>5100</v>
      </c>
      <c r="L7" s="9">
        <f t="shared" si="6"/>
        <v>4250</v>
      </c>
      <c r="M7" s="9">
        <f t="shared" si="7"/>
        <v>850</v>
      </c>
      <c r="N7" s="11">
        <v>770</v>
      </c>
      <c r="O7" s="9">
        <f t="shared" si="8"/>
        <v>641.66666666666674</v>
      </c>
      <c r="P7" s="9">
        <f t="shared" si="9"/>
        <v>128.33333333333334</v>
      </c>
      <c r="Q7" s="9">
        <v>0</v>
      </c>
      <c r="R7" s="11">
        <f>4000+2100+6475+67195</f>
        <v>79770</v>
      </c>
      <c r="S7" s="9">
        <v>0</v>
      </c>
      <c r="T7" s="9">
        <v>0</v>
      </c>
      <c r="U7" s="17">
        <v>14960</v>
      </c>
      <c r="V7" s="15"/>
    </row>
    <row r="8" spans="1:22" x14ac:dyDescent="0.3">
      <c r="A8" s="8">
        <v>45695</v>
      </c>
      <c r="B8" s="11">
        <f>41110.77+3890+14180+4370</f>
        <v>63550.77</v>
      </c>
      <c r="C8" s="9">
        <f t="shared" si="0"/>
        <v>57773.427272727262</v>
      </c>
      <c r="D8" s="9">
        <f t="shared" si="1"/>
        <v>5777.3427272727267</v>
      </c>
      <c r="E8" s="11">
        <f>6555.77+4195+3950+8620+6985</f>
        <v>30305.77</v>
      </c>
      <c r="F8" s="9">
        <f t="shared" si="2"/>
        <v>25254.808333333334</v>
      </c>
      <c r="G8" s="9">
        <f t="shared" si="3"/>
        <v>5050.961666666667</v>
      </c>
      <c r="H8" s="11">
        <f>2515+425+1525+300</f>
        <v>4765</v>
      </c>
      <c r="I8" s="9">
        <f t="shared" si="4"/>
        <v>4331.8181818181811</v>
      </c>
      <c r="J8" s="9">
        <f t="shared" si="5"/>
        <v>433.18181818181813</v>
      </c>
      <c r="K8" s="11">
        <f>2838.46+600+1200+1600+600</f>
        <v>6838.46</v>
      </c>
      <c r="L8" s="9">
        <f t="shared" si="6"/>
        <v>5698.7166666666672</v>
      </c>
      <c r="M8" s="9">
        <f t="shared" si="7"/>
        <v>1139.7433333333336</v>
      </c>
      <c r="N8" s="11">
        <v>600</v>
      </c>
      <c r="O8" s="9">
        <f t="shared" si="8"/>
        <v>500</v>
      </c>
      <c r="P8" s="9">
        <f t="shared" si="9"/>
        <v>100</v>
      </c>
      <c r="Q8" s="11">
        <f>1335</f>
        <v>1335</v>
      </c>
      <c r="R8" s="11">
        <f>47353+9710+5150+25925+10920</f>
        <v>99058</v>
      </c>
      <c r="S8" s="11">
        <v>5667</v>
      </c>
      <c r="T8" s="9">
        <v>0</v>
      </c>
      <c r="U8" s="17">
        <f>34000+20700+12940+22200</f>
        <v>89840</v>
      </c>
      <c r="V8" s="3"/>
    </row>
    <row r="9" spans="1:22" x14ac:dyDescent="0.3">
      <c r="A9" s="8">
        <v>45696</v>
      </c>
      <c r="B9" s="11">
        <f>52310.3+5510+18095</f>
        <v>75915.3</v>
      </c>
      <c r="C9" s="9">
        <f t="shared" si="0"/>
        <v>69013.909090909088</v>
      </c>
      <c r="D9" s="9">
        <f t="shared" si="1"/>
        <v>6901.3909090909092</v>
      </c>
      <c r="E9" s="11">
        <f>29643.02+10850+14530+11300+8970</f>
        <v>75293.02</v>
      </c>
      <c r="F9" s="9">
        <f t="shared" si="2"/>
        <v>62744.183333333342</v>
      </c>
      <c r="G9" s="9">
        <f t="shared" si="3"/>
        <v>12548.83666666667</v>
      </c>
      <c r="H9" s="11">
        <f>1095+75+165+1800+850</f>
        <v>3985</v>
      </c>
      <c r="I9" s="9">
        <f t="shared" si="4"/>
        <v>3622.7272727272725</v>
      </c>
      <c r="J9" s="9">
        <f t="shared" si="5"/>
        <v>362.27272727272725</v>
      </c>
      <c r="K9" s="11">
        <f>6536.68+2800+1800+3200+2000</f>
        <v>16336.68</v>
      </c>
      <c r="L9" s="9">
        <f t="shared" si="6"/>
        <v>13613.900000000001</v>
      </c>
      <c r="M9" s="9">
        <f t="shared" si="7"/>
        <v>2722.7800000000007</v>
      </c>
      <c r="N9" s="11">
        <f>195+600</f>
        <v>795</v>
      </c>
      <c r="O9" s="9">
        <f t="shared" si="8"/>
        <v>662.5</v>
      </c>
      <c r="P9" s="9">
        <f t="shared" si="9"/>
        <v>132.5</v>
      </c>
      <c r="Q9" s="11">
        <f>3900+275+600</f>
        <v>4775</v>
      </c>
      <c r="R9" s="16">
        <f>85880+14050+22005+15700+29915</f>
        <v>167550</v>
      </c>
      <c r="S9" s="20">
        <v>0</v>
      </c>
      <c r="T9" s="9">
        <v>0</v>
      </c>
      <c r="U9" s="11">
        <f>10915+21227</f>
        <v>32142</v>
      </c>
      <c r="V9" s="3"/>
    </row>
    <row r="10" spans="1:22" x14ac:dyDescent="0.3">
      <c r="A10" s="8">
        <v>45697</v>
      </c>
      <c r="B10" s="11">
        <f>13545+56930</f>
        <v>70475</v>
      </c>
      <c r="C10" s="9">
        <f t="shared" si="0"/>
        <v>64068.181818181816</v>
      </c>
      <c r="D10" s="9">
        <f t="shared" si="1"/>
        <v>6406.818181818182</v>
      </c>
      <c r="E10" s="11">
        <f>4740+9995+10100</f>
        <v>24835</v>
      </c>
      <c r="F10" s="9">
        <f t="shared" si="2"/>
        <v>20695.833333333336</v>
      </c>
      <c r="G10" s="9">
        <f t="shared" si="3"/>
        <v>4139.166666666667</v>
      </c>
      <c r="H10" s="11">
        <f>850+1945+850</f>
        <v>3645</v>
      </c>
      <c r="I10" s="9">
        <f t="shared" si="4"/>
        <v>3313.6363636363635</v>
      </c>
      <c r="J10" s="9">
        <f t="shared" si="5"/>
        <v>331.36363636363637</v>
      </c>
      <c r="K10" s="11">
        <f>1500+2950+1200</f>
        <v>5650</v>
      </c>
      <c r="L10" s="9">
        <f t="shared" si="6"/>
        <v>4708.3333333333339</v>
      </c>
      <c r="M10" s="9">
        <f t="shared" si="7"/>
        <v>941.66666666666686</v>
      </c>
      <c r="N10" s="11">
        <f>300+580+800</f>
        <v>1680</v>
      </c>
      <c r="O10" s="9">
        <f t="shared" si="8"/>
        <v>1400</v>
      </c>
      <c r="P10" s="9">
        <f t="shared" si="9"/>
        <v>280</v>
      </c>
      <c r="Q10" s="11">
        <f>5780+2065</f>
        <v>7845</v>
      </c>
      <c r="R10" s="11">
        <f>15155+68345+12950</f>
        <v>96450</v>
      </c>
      <c r="S10" s="11">
        <v>1990</v>
      </c>
      <c r="T10" s="9">
        <v>0</v>
      </c>
      <c r="U10" s="17">
        <v>21545</v>
      </c>
      <c r="V10" s="3"/>
    </row>
    <row r="11" spans="1:22" x14ac:dyDescent="0.3">
      <c r="A11" s="8">
        <v>45699</v>
      </c>
      <c r="B11" s="11">
        <f>3120+35080+4320</f>
        <v>42520</v>
      </c>
      <c r="C11" s="9">
        <f t="shared" si="0"/>
        <v>38654.545454545449</v>
      </c>
      <c r="D11" s="9">
        <f t="shared" si="1"/>
        <v>3865.454545454545</v>
      </c>
      <c r="E11" s="11">
        <f>7190+12165+4900</f>
        <v>24255</v>
      </c>
      <c r="F11" s="9">
        <f t="shared" ref="F11" si="10">E11/1.2</f>
        <v>20212.5</v>
      </c>
      <c r="G11" s="9">
        <f t="shared" ref="G11" si="11">F11*0.2</f>
        <v>4042.5</v>
      </c>
      <c r="H11" s="11">
        <f>1115</f>
        <v>1115</v>
      </c>
      <c r="I11" s="9">
        <f t="shared" ref="I11" si="12">H11/1.1</f>
        <v>1013.6363636363635</v>
      </c>
      <c r="J11" s="9">
        <f t="shared" ref="J11" si="13">I11*0.1</f>
        <v>101.36363636363636</v>
      </c>
      <c r="K11" s="11">
        <f>1300+3600+600</f>
        <v>5500</v>
      </c>
      <c r="L11" s="9">
        <f t="shared" ref="L11" si="14">K11/1.2</f>
        <v>4583.3333333333339</v>
      </c>
      <c r="M11" s="9">
        <f t="shared" ref="M11" si="15">L11*0.2</f>
        <v>916.66666666666686</v>
      </c>
      <c r="N11" s="11">
        <v>1000</v>
      </c>
      <c r="O11" s="9">
        <f t="shared" ref="O11" si="16">N11/1.2</f>
        <v>833.33333333333337</v>
      </c>
      <c r="P11" s="9">
        <f t="shared" ref="P11" si="17">O11*0.2</f>
        <v>166.66666666666669</v>
      </c>
      <c r="Q11" s="11">
        <v>2700</v>
      </c>
      <c r="R11" s="11">
        <f>12210+49660+4820</f>
        <v>66690</v>
      </c>
      <c r="S11" s="11">
        <v>5000</v>
      </c>
      <c r="T11" s="9">
        <v>0</v>
      </c>
      <c r="U11" s="17">
        <v>109940</v>
      </c>
      <c r="V11" s="3"/>
    </row>
    <row r="12" spans="1:22" x14ac:dyDescent="0.3">
      <c r="A12" s="8">
        <v>45700</v>
      </c>
      <c r="B12" s="11">
        <f>2810+16920</f>
        <v>19730</v>
      </c>
      <c r="C12" s="9">
        <f t="shared" si="0"/>
        <v>17936.363636363636</v>
      </c>
      <c r="D12" s="9">
        <f t="shared" si="1"/>
        <v>1793.6363636363637</v>
      </c>
      <c r="E12" s="11">
        <f>6686.75+7620</f>
        <v>14306.75</v>
      </c>
      <c r="F12" s="9">
        <f t="shared" si="2"/>
        <v>11922.291666666668</v>
      </c>
      <c r="G12" s="9">
        <f t="shared" si="3"/>
        <v>2384.4583333333335</v>
      </c>
      <c r="H12" s="11">
        <f>135.54+435</f>
        <v>570.54</v>
      </c>
      <c r="I12" s="9">
        <f t="shared" si="4"/>
        <v>518.67272727272723</v>
      </c>
      <c r="J12" s="9">
        <f t="shared" si="5"/>
        <v>51.867272727272727</v>
      </c>
      <c r="K12" s="11">
        <f>977.71+1800</f>
        <v>2777.71</v>
      </c>
      <c r="L12" s="9">
        <f t="shared" si="6"/>
        <v>2314.7583333333337</v>
      </c>
      <c r="M12" s="9">
        <f t="shared" si="7"/>
        <v>462.95166666666677</v>
      </c>
      <c r="N12" s="11">
        <v>600</v>
      </c>
      <c r="O12" s="9">
        <f t="shared" si="8"/>
        <v>500</v>
      </c>
      <c r="P12" s="9">
        <f t="shared" si="9"/>
        <v>100</v>
      </c>
      <c r="Q12" s="9">
        <v>0</v>
      </c>
      <c r="R12" s="11">
        <f>10610+27375</f>
        <v>37985</v>
      </c>
      <c r="S12" s="9">
        <v>0</v>
      </c>
      <c r="T12" s="9">
        <v>0</v>
      </c>
      <c r="U12" s="14">
        <v>0</v>
      </c>
      <c r="V12" s="18"/>
    </row>
    <row r="13" spans="1:22" x14ac:dyDescent="0.3">
      <c r="A13" s="8">
        <v>45699</v>
      </c>
      <c r="B13" s="11">
        <f>4320+3120+35080</f>
        <v>42520</v>
      </c>
      <c r="C13" s="9">
        <f t="shared" si="0"/>
        <v>38654.545454545449</v>
      </c>
      <c r="D13" s="9">
        <f t="shared" si="1"/>
        <v>3865.454545454545</v>
      </c>
      <c r="E13" s="11">
        <f>4900+7190+12165</f>
        <v>24255</v>
      </c>
      <c r="F13" s="9">
        <f t="shared" si="2"/>
        <v>20212.5</v>
      </c>
      <c r="G13" s="9">
        <f t="shared" si="3"/>
        <v>4042.5</v>
      </c>
      <c r="H13" s="11">
        <v>1115</v>
      </c>
      <c r="I13" s="9">
        <f t="shared" si="4"/>
        <v>1013.6363636363635</v>
      </c>
      <c r="J13" s="9">
        <f t="shared" si="5"/>
        <v>101.36363636363636</v>
      </c>
      <c r="K13" s="11">
        <f>600+1300+3600</f>
        <v>5500</v>
      </c>
      <c r="L13" s="9">
        <f t="shared" si="6"/>
        <v>4583.3333333333339</v>
      </c>
      <c r="M13" s="9">
        <f t="shared" si="7"/>
        <v>916.66666666666686</v>
      </c>
      <c r="N13" s="11">
        <v>1000</v>
      </c>
      <c r="O13" s="9">
        <f t="shared" si="8"/>
        <v>833.33333333333337</v>
      </c>
      <c r="P13" s="9">
        <f t="shared" si="9"/>
        <v>166.66666666666669</v>
      </c>
      <c r="Q13" s="11">
        <f>2700</f>
        <v>2700</v>
      </c>
      <c r="R13" s="11">
        <f>4820+12210+49660</f>
        <v>66690</v>
      </c>
      <c r="S13" s="11">
        <v>5000</v>
      </c>
      <c r="T13" s="9">
        <v>0</v>
      </c>
      <c r="U13" s="17">
        <v>109940</v>
      </c>
      <c r="V13" s="18"/>
    </row>
    <row r="14" spans="1:22" x14ac:dyDescent="0.3">
      <c r="A14" s="8">
        <v>45700</v>
      </c>
      <c r="B14" s="11">
        <f>2810+16920</f>
        <v>19730</v>
      </c>
      <c r="C14" s="9">
        <f t="shared" si="0"/>
        <v>17936.363636363636</v>
      </c>
      <c r="D14" s="9">
        <f t="shared" si="1"/>
        <v>1793.6363636363637</v>
      </c>
      <c r="E14" s="11">
        <f>6686.75+7620</f>
        <v>14306.75</v>
      </c>
      <c r="F14" s="9">
        <f t="shared" si="2"/>
        <v>11922.291666666668</v>
      </c>
      <c r="G14" s="9">
        <f t="shared" si="3"/>
        <v>2384.4583333333335</v>
      </c>
      <c r="H14" s="11">
        <f>135.54+435</f>
        <v>570.54</v>
      </c>
      <c r="I14" s="9">
        <f t="shared" si="4"/>
        <v>518.67272727272723</v>
      </c>
      <c r="J14" s="9">
        <f t="shared" si="5"/>
        <v>51.867272727272727</v>
      </c>
      <c r="K14" s="11">
        <f>977.71+1800</f>
        <v>2777.71</v>
      </c>
      <c r="L14" s="9">
        <f t="shared" si="6"/>
        <v>2314.7583333333337</v>
      </c>
      <c r="M14" s="9">
        <f t="shared" si="7"/>
        <v>462.95166666666677</v>
      </c>
      <c r="N14" s="11">
        <v>600</v>
      </c>
      <c r="O14" s="9">
        <f t="shared" si="8"/>
        <v>500</v>
      </c>
      <c r="P14" s="9">
        <f t="shared" si="9"/>
        <v>100</v>
      </c>
      <c r="Q14" s="9">
        <v>0</v>
      </c>
      <c r="R14" s="11">
        <f>10610+27375</f>
        <v>37985</v>
      </c>
      <c r="S14" s="9">
        <v>0</v>
      </c>
      <c r="T14" s="9">
        <v>0</v>
      </c>
      <c r="U14" s="14">
        <v>0</v>
      </c>
      <c r="V14" s="3"/>
    </row>
    <row r="15" spans="1:22" x14ac:dyDescent="0.3">
      <c r="A15" s="8">
        <v>45701</v>
      </c>
      <c r="B15" s="11">
        <f>2070+56260</f>
        <v>58330</v>
      </c>
      <c r="C15" s="9">
        <f t="shared" si="0"/>
        <v>53027.272727272721</v>
      </c>
      <c r="D15" s="9">
        <f t="shared" si="1"/>
        <v>5302.7272727272721</v>
      </c>
      <c r="E15" s="11">
        <f>1200+11165</f>
        <v>12365</v>
      </c>
      <c r="F15" s="9">
        <f t="shared" si="2"/>
        <v>10304.166666666668</v>
      </c>
      <c r="G15" s="9">
        <f t="shared" si="3"/>
        <v>2060.8333333333335</v>
      </c>
      <c r="H15" s="11">
        <v>4635</v>
      </c>
      <c r="I15" s="9">
        <f t="shared" si="4"/>
        <v>4213.6363636363631</v>
      </c>
      <c r="J15" s="9">
        <f t="shared" si="5"/>
        <v>421.36363636363632</v>
      </c>
      <c r="K15" s="11">
        <f>400+450+4950</f>
        <v>5800</v>
      </c>
      <c r="L15" s="9">
        <f t="shared" si="6"/>
        <v>4833.3333333333339</v>
      </c>
      <c r="M15" s="9">
        <f t="shared" si="7"/>
        <v>966.66666666666686</v>
      </c>
      <c r="N15" s="11">
        <v>450</v>
      </c>
      <c r="O15" s="9">
        <f t="shared" si="8"/>
        <v>375</v>
      </c>
      <c r="P15" s="9">
        <f t="shared" si="9"/>
        <v>75</v>
      </c>
      <c r="Q15" s="11">
        <v>4380</v>
      </c>
      <c r="R15" s="11">
        <f>1600+2970+72630</f>
        <v>77200</v>
      </c>
      <c r="S15" s="9">
        <v>0</v>
      </c>
      <c r="T15" s="9">
        <v>0</v>
      </c>
      <c r="U15" s="14">
        <v>0</v>
      </c>
      <c r="V15" s="3"/>
    </row>
    <row r="16" spans="1:22" x14ac:dyDescent="0.3">
      <c r="A16" s="8">
        <v>45702</v>
      </c>
      <c r="B16" s="11">
        <f>13782.43+69318.17+23450.8+21898.06</f>
        <v>128449.46</v>
      </c>
      <c r="C16" s="9">
        <f t="shared" si="0"/>
        <v>116772.23636363636</v>
      </c>
      <c r="D16" s="9">
        <f t="shared" si="1"/>
        <v>11677.223636363637</v>
      </c>
      <c r="E16" s="11">
        <f>4431.45+16474.67+9248.23+12997.08</f>
        <v>43151.43</v>
      </c>
      <c r="F16" s="9">
        <f t="shared" si="2"/>
        <v>35959.525000000001</v>
      </c>
      <c r="G16" s="9">
        <f t="shared" si="3"/>
        <v>7191.9050000000007</v>
      </c>
      <c r="H16" s="11">
        <f>645.44+1842.47+721.07+75</f>
        <v>3283.98</v>
      </c>
      <c r="I16" s="9">
        <f t="shared" si="4"/>
        <v>2985.4363636363632</v>
      </c>
      <c r="J16" s="9">
        <f t="shared" si="5"/>
        <v>298.54363636363632</v>
      </c>
      <c r="K16" s="11">
        <f>590.68+3383.56+1275.23+2980.01</f>
        <v>8229.48</v>
      </c>
      <c r="L16" s="9">
        <f t="shared" si="6"/>
        <v>6857.9</v>
      </c>
      <c r="M16" s="9">
        <f t="shared" si="7"/>
        <v>1371.58</v>
      </c>
      <c r="N16" s="11">
        <f>9096.13+3234.67+2159.85</f>
        <v>14490.65</v>
      </c>
      <c r="O16" s="9">
        <f t="shared" si="8"/>
        <v>12075.541666666666</v>
      </c>
      <c r="P16" s="9">
        <f t="shared" si="9"/>
        <v>2415.1083333333331</v>
      </c>
      <c r="Q16" s="11">
        <f>6450+3935</f>
        <v>10385</v>
      </c>
      <c r="R16" s="11">
        <f>13000+92775+37930+21775</f>
        <v>165480</v>
      </c>
      <c r="S16" s="11">
        <f>7340+14400</f>
        <v>21740</v>
      </c>
      <c r="T16" s="9">
        <v>0</v>
      </c>
      <c r="U16" s="17">
        <f>80045+22890+10640+10670</f>
        <v>124245</v>
      </c>
      <c r="V16" s="3" t="s">
        <v>20</v>
      </c>
    </row>
    <row r="17" spans="1:22" x14ac:dyDescent="0.3">
      <c r="A17" s="8">
        <v>45703</v>
      </c>
      <c r="B17" s="11">
        <f>102261.79+6670+10460</f>
        <v>119391.79</v>
      </c>
      <c r="C17" s="9">
        <f t="shared" si="0"/>
        <v>108537.99090909089</v>
      </c>
      <c r="D17" s="9">
        <f t="shared" si="1"/>
        <v>10853.79909090909</v>
      </c>
      <c r="E17" s="11">
        <f>25812.48+14000+8085+4790</f>
        <v>52687.479999999996</v>
      </c>
      <c r="F17" s="9">
        <f t="shared" si="2"/>
        <v>43906.23333333333</v>
      </c>
      <c r="G17" s="9">
        <f t="shared" si="3"/>
        <v>8781.246666666666</v>
      </c>
      <c r="H17" s="11">
        <f>7175+925+300+90</f>
        <v>8490</v>
      </c>
      <c r="I17" s="9">
        <f t="shared" si="4"/>
        <v>7718.1818181818171</v>
      </c>
      <c r="J17" s="9">
        <f t="shared" si="5"/>
        <v>771.81818181818176</v>
      </c>
      <c r="K17" s="11">
        <f>9244.73+3450+2600+1050</f>
        <v>16344.73</v>
      </c>
      <c r="L17" s="9">
        <f t="shared" si="6"/>
        <v>13620.608333333334</v>
      </c>
      <c r="M17" s="9">
        <f t="shared" si="7"/>
        <v>2724.1216666666669</v>
      </c>
      <c r="N17" s="11">
        <v>500</v>
      </c>
      <c r="O17" s="9">
        <f t="shared" si="8"/>
        <v>416.66666666666669</v>
      </c>
      <c r="P17" s="9">
        <f t="shared" si="9"/>
        <v>83.333333333333343</v>
      </c>
      <c r="Q17" s="11">
        <f>3795+938+3715</f>
        <v>8448</v>
      </c>
      <c r="R17" s="11">
        <f>140699+24107+10985+13175</f>
        <v>188966</v>
      </c>
      <c r="S17" s="9">
        <v>0</v>
      </c>
      <c r="T17" s="9">
        <v>0</v>
      </c>
      <c r="U17" s="17">
        <v>14170</v>
      </c>
      <c r="V17" s="3"/>
    </row>
    <row r="18" spans="1:22" x14ac:dyDescent="0.3">
      <c r="A18" s="8">
        <v>45704</v>
      </c>
      <c r="B18" s="11">
        <f>85950</f>
        <v>85950</v>
      </c>
      <c r="C18" s="9">
        <f t="shared" si="0"/>
        <v>78136.363636363632</v>
      </c>
      <c r="D18" s="9">
        <f t="shared" si="1"/>
        <v>7813.636363636364</v>
      </c>
      <c r="E18" s="11">
        <v>9885</v>
      </c>
      <c r="F18" s="9">
        <f t="shared" si="2"/>
        <v>8237.5</v>
      </c>
      <c r="G18" s="9">
        <f t="shared" si="3"/>
        <v>1647.5</v>
      </c>
      <c r="H18" s="11">
        <v>3415</v>
      </c>
      <c r="I18" s="9">
        <f t="shared" si="4"/>
        <v>3104.5454545454545</v>
      </c>
      <c r="J18" s="9">
        <f t="shared" si="5"/>
        <v>310.4545454545455</v>
      </c>
      <c r="K18" s="11">
        <v>4350</v>
      </c>
      <c r="L18" s="9">
        <f t="shared" si="6"/>
        <v>3625</v>
      </c>
      <c r="M18" s="9">
        <f t="shared" si="7"/>
        <v>725</v>
      </c>
      <c r="N18" s="9">
        <v>0</v>
      </c>
      <c r="O18" s="9">
        <f t="shared" si="8"/>
        <v>0</v>
      </c>
      <c r="P18" s="9">
        <f t="shared" si="9"/>
        <v>0</v>
      </c>
      <c r="Q18" s="11">
        <v>1800</v>
      </c>
      <c r="R18" s="11">
        <v>101800</v>
      </c>
      <c r="S18" s="9">
        <v>0</v>
      </c>
      <c r="T18" s="11">
        <v>12000</v>
      </c>
      <c r="U18" s="17">
        <v>28870</v>
      </c>
      <c r="V18" s="3"/>
    </row>
    <row r="19" spans="1:22" x14ac:dyDescent="0.3">
      <c r="A19" s="8">
        <v>45706</v>
      </c>
      <c r="B19" s="11">
        <v>33790</v>
      </c>
      <c r="C19" s="9">
        <f t="shared" si="0"/>
        <v>30718.181818181816</v>
      </c>
      <c r="D19" s="9">
        <f t="shared" si="1"/>
        <v>3071.818181818182</v>
      </c>
      <c r="E19" s="11">
        <f>1250+13865</f>
        <v>15115</v>
      </c>
      <c r="F19" s="9">
        <f t="shared" si="2"/>
        <v>12595.833333333334</v>
      </c>
      <c r="G19" s="9">
        <f t="shared" si="3"/>
        <v>2519.166666666667</v>
      </c>
      <c r="H19" s="11">
        <v>375</v>
      </c>
      <c r="I19" s="9">
        <f t="shared" si="4"/>
        <v>340.90909090909088</v>
      </c>
      <c r="J19" s="9">
        <f t="shared" si="5"/>
        <v>34.090909090909086</v>
      </c>
      <c r="K19" s="11">
        <f>400+2700</f>
        <v>3100</v>
      </c>
      <c r="L19" s="9">
        <f t="shared" si="6"/>
        <v>2583.3333333333335</v>
      </c>
      <c r="M19" s="9">
        <f t="shared" si="7"/>
        <v>516.66666666666674</v>
      </c>
      <c r="N19" s="9">
        <v>0</v>
      </c>
      <c r="O19" s="9">
        <f t="shared" si="8"/>
        <v>0</v>
      </c>
      <c r="P19" s="9">
        <f t="shared" si="9"/>
        <v>0</v>
      </c>
      <c r="Q19" s="11">
        <v>5000</v>
      </c>
      <c r="R19" s="11">
        <f>1650+41485</f>
        <v>43135</v>
      </c>
      <c r="S19" s="11">
        <v>4245</v>
      </c>
      <c r="T19" s="9">
        <v>0</v>
      </c>
      <c r="U19" s="17">
        <v>34500</v>
      </c>
      <c r="V19" s="3"/>
    </row>
    <row r="20" spans="1:22" x14ac:dyDescent="0.3">
      <c r="A20" s="8">
        <v>45707</v>
      </c>
      <c r="B20" s="11">
        <f>21320+11344.59+2780</f>
        <v>35444.589999999997</v>
      </c>
      <c r="C20" s="9">
        <f t="shared" si="0"/>
        <v>32222.354545454538</v>
      </c>
      <c r="D20" s="9">
        <f t="shared" si="1"/>
        <v>3222.2354545454541</v>
      </c>
      <c r="E20" s="11">
        <f>9065+4100+2400+3900</f>
        <v>19465</v>
      </c>
      <c r="F20" s="9">
        <f t="shared" si="2"/>
        <v>16220.833333333334</v>
      </c>
      <c r="G20" s="9">
        <f t="shared" si="3"/>
        <v>3244.166666666667</v>
      </c>
      <c r="H20" s="11">
        <f>270+1700+850+425</f>
        <v>3245</v>
      </c>
      <c r="I20" s="9">
        <f t="shared" si="4"/>
        <v>2949.9999999999995</v>
      </c>
      <c r="J20" s="9">
        <f t="shared" si="5"/>
        <v>294.99999999999994</v>
      </c>
      <c r="K20" s="11">
        <f>2100+1583.91+700+800</f>
        <v>5183.91</v>
      </c>
      <c r="L20" s="9">
        <f>K20/1.2</f>
        <v>4319.9250000000002</v>
      </c>
      <c r="M20" s="9">
        <f t="shared" si="7"/>
        <v>863.98500000000013</v>
      </c>
      <c r="N20" s="11">
        <v>690</v>
      </c>
      <c r="O20" s="9">
        <f t="shared" si="8"/>
        <v>575</v>
      </c>
      <c r="P20" s="9">
        <f t="shared" si="9"/>
        <v>115</v>
      </c>
      <c r="Q20" s="9">
        <v>0</v>
      </c>
      <c r="R20" s="11">
        <f>33445+18728.5+6730+5125</f>
        <v>64028.5</v>
      </c>
      <c r="S20" s="9">
        <v>0</v>
      </c>
      <c r="T20" s="9">
        <v>0</v>
      </c>
      <c r="U20" s="17">
        <f>11090+32330+37275</f>
        <v>80695</v>
      </c>
      <c r="V20" s="3"/>
    </row>
    <row r="21" spans="1:22" x14ac:dyDescent="0.3">
      <c r="A21" s="8">
        <v>45708</v>
      </c>
      <c r="B21" s="11">
        <f>30650+250</f>
        <v>30900</v>
      </c>
      <c r="C21" s="9">
        <f t="shared" si="0"/>
        <v>28090.909090909088</v>
      </c>
      <c r="D21" s="9">
        <f t="shared" si="1"/>
        <v>2809.090909090909</v>
      </c>
      <c r="E21" s="11">
        <f>11750+3000+3450</f>
        <v>18200</v>
      </c>
      <c r="F21" s="9">
        <f t="shared" si="2"/>
        <v>15166.666666666668</v>
      </c>
      <c r="G21" s="9">
        <f t="shared" si="3"/>
        <v>3033.3333333333339</v>
      </c>
      <c r="H21" s="11">
        <f>2630</f>
        <v>2630</v>
      </c>
      <c r="I21" s="9">
        <f t="shared" si="4"/>
        <v>2390.9090909090905</v>
      </c>
      <c r="J21" s="9">
        <f t="shared" si="5"/>
        <v>239.09090909090907</v>
      </c>
      <c r="K21" s="11">
        <f>3100+600+400</f>
        <v>4100</v>
      </c>
      <c r="L21" s="9">
        <f t="shared" si="6"/>
        <v>3416.666666666667</v>
      </c>
      <c r="M21" s="9">
        <f t="shared" si="7"/>
        <v>683.33333333333348</v>
      </c>
      <c r="N21" s="9">
        <v>0</v>
      </c>
      <c r="O21" s="9">
        <f t="shared" si="8"/>
        <v>0</v>
      </c>
      <c r="P21" s="9">
        <f t="shared" si="9"/>
        <v>0</v>
      </c>
      <c r="Q21" s="9">
        <v>0</v>
      </c>
      <c r="R21" s="11">
        <f>41035+3600+4100</f>
        <v>48735</v>
      </c>
      <c r="S21" s="11">
        <v>7095</v>
      </c>
      <c r="T21" s="9">
        <v>0</v>
      </c>
      <c r="U21" s="17">
        <v>10350</v>
      </c>
      <c r="V21" s="3"/>
    </row>
    <row r="22" spans="1:22" x14ac:dyDescent="0.3">
      <c r="A22" s="8">
        <v>45709</v>
      </c>
      <c r="B22" s="11">
        <f>1185+42800</f>
        <v>43985</v>
      </c>
      <c r="C22" s="9">
        <f t="shared" si="0"/>
        <v>39986.363636363632</v>
      </c>
      <c r="D22" s="9">
        <f t="shared" si="1"/>
        <v>3998.6363636363635</v>
      </c>
      <c r="E22" s="11">
        <f>4725+1850+8000+5400+8675</f>
        <v>28650</v>
      </c>
      <c r="F22" s="9">
        <f t="shared" si="2"/>
        <v>23875</v>
      </c>
      <c r="G22" s="9">
        <f t="shared" si="3"/>
        <v>4775</v>
      </c>
      <c r="H22" s="11">
        <f>810+75</f>
        <v>885</v>
      </c>
      <c r="I22" s="9">
        <f t="shared" si="4"/>
        <v>804.5454545454545</v>
      </c>
      <c r="J22" s="9">
        <f t="shared" si="5"/>
        <v>80.454545454545453</v>
      </c>
      <c r="K22" s="11">
        <f>800+450+3450+1000+1000</f>
        <v>6700</v>
      </c>
      <c r="L22" s="9">
        <f t="shared" si="6"/>
        <v>5583.3333333333339</v>
      </c>
      <c r="M22" s="9">
        <f t="shared" si="7"/>
        <v>1116.6666666666667</v>
      </c>
      <c r="N22" s="11">
        <f>300+150</f>
        <v>450</v>
      </c>
      <c r="O22" s="9">
        <f t="shared" si="8"/>
        <v>375</v>
      </c>
      <c r="P22" s="9">
        <f t="shared" si="9"/>
        <v>75</v>
      </c>
      <c r="Q22" s="11">
        <v>800</v>
      </c>
      <c r="R22" s="11">
        <f>5825+3485+55060+5600+9900</f>
        <v>79870</v>
      </c>
      <c r="S22" s="9">
        <v>0</v>
      </c>
      <c r="T22" s="11">
        <v>3625</v>
      </c>
      <c r="U22" s="17">
        <f>19510+1850+16355+6300</f>
        <v>44015</v>
      </c>
      <c r="V22" s="3"/>
    </row>
    <row r="23" spans="1:22" x14ac:dyDescent="0.3">
      <c r="A23" s="8">
        <v>45710</v>
      </c>
      <c r="B23" s="11">
        <f>250+5870+450+61990</f>
        <v>68560</v>
      </c>
      <c r="C23" s="9">
        <f t="shared" si="0"/>
        <v>62327.272727272721</v>
      </c>
      <c r="D23" s="9">
        <f t="shared" si="1"/>
        <v>6232.7272727272721</v>
      </c>
      <c r="E23" s="11">
        <f>13000+4240+20200+24770</f>
        <v>62210</v>
      </c>
      <c r="F23" s="9">
        <f t="shared" si="2"/>
        <v>51841.666666666672</v>
      </c>
      <c r="G23" s="9">
        <f t="shared" si="3"/>
        <v>10368.333333333336</v>
      </c>
      <c r="H23" s="11">
        <f>1275+230+1075+445</f>
        <v>3025</v>
      </c>
      <c r="I23" s="9">
        <f t="shared" si="4"/>
        <v>2750</v>
      </c>
      <c r="J23" s="9">
        <f t="shared" si="5"/>
        <v>275</v>
      </c>
      <c r="K23" s="11">
        <v>12500</v>
      </c>
      <c r="L23" s="9">
        <f t="shared" si="6"/>
        <v>10416.666666666668</v>
      </c>
      <c r="M23" s="9">
        <f t="shared" si="7"/>
        <v>2083.3333333333335</v>
      </c>
      <c r="N23" s="11">
        <f>600+750+2265</f>
        <v>3615</v>
      </c>
      <c r="O23" s="9">
        <f t="shared" si="8"/>
        <v>3012.5</v>
      </c>
      <c r="P23" s="9">
        <f t="shared" si="9"/>
        <v>602.5</v>
      </c>
      <c r="Q23" s="11">
        <f>950+1095</f>
        <v>2045</v>
      </c>
      <c r="R23" s="11">
        <f>11340+16975+94570+24980-6410</f>
        <v>141455</v>
      </c>
      <c r="S23" s="11">
        <v>6410</v>
      </c>
      <c r="T23" s="9">
        <v>0</v>
      </c>
      <c r="U23" s="14">
        <f>13055+7170+31740+53555</f>
        <v>105520</v>
      </c>
      <c r="V23" s="3"/>
    </row>
    <row r="24" spans="1:22" x14ac:dyDescent="0.3">
      <c r="A24" s="8">
        <v>45711</v>
      </c>
      <c r="B24" s="11">
        <f>48045</f>
        <v>48045</v>
      </c>
      <c r="C24" s="9">
        <f t="shared" si="0"/>
        <v>43677.272727272721</v>
      </c>
      <c r="D24" s="9">
        <f t="shared" si="1"/>
        <v>4367.7272727272721</v>
      </c>
      <c r="E24" s="11">
        <f>7590</f>
        <v>7590</v>
      </c>
      <c r="F24" s="9">
        <f t="shared" si="2"/>
        <v>6325</v>
      </c>
      <c r="G24" s="9">
        <f t="shared" si="3"/>
        <v>1265</v>
      </c>
      <c r="H24" s="11">
        <f>2500+850</f>
        <v>3350</v>
      </c>
      <c r="I24" s="9">
        <f t="shared" si="4"/>
        <v>3045.454545454545</v>
      </c>
      <c r="J24" s="9">
        <f t="shared" si="5"/>
        <v>304.5454545454545</v>
      </c>
      <c r="K24" s="11">
        <f>3000+400</f>
        <v>3400</v>
      </c>
      <c r="L24" s="9">
        <f t="shared" si="6"/>
        <v>2833.3333333333335</v>
      </c>
      <c r="M24" s="9">
        <f t="shared" si="7"/>
        <v>566.66666666666674</v>
      </c>
      <c r="N24" s="9">
        <v>0</v>
      </c>
      <c r="O24" s="9">
        <f t="shared" si="8"/>
        <v>0</v>
      </c>
      <c r="P24" s="9">
        <f t="shared" si="9"/>
        <v>0</v>
      </c>
      <c r="Q24" s="11">
        <v>9780</v>
      </c>
      <c r="R24" s="11">
        <f>51355+1250</f>
        <v>52605</v>
      </c>
      <c r="S24" s="9">
        <v>0</v>
      </c>
      <c r="T24" s="9">
        <v>0</v>
      </c>
      <c r="U24" s="17">
        <v>28910</v>
      </c>
      <c r="V24" s="3"/>
    </row>
    <row r="25" spans="1:22" x14ac:dyDescent="0.3">
      <c r="A25" s="8">
        <v>45713</v>
      </c>
      <c r="B25" s="11">
        <f>4208.11+20915</f>
        <v>25123.11</v>
      </c>
      <c r="C25" s="9">
        <f t="shared" si="0"/>
        <v>22839.190909090907</v>
      </c>
      <c r="D25" s="9">
        <f t="shared" si="1"/>
        <v>2283.9190909090908</v>
      </c>
      <c r="E25" s="11">
        <f>7925+3021.58</f>
        <v>10946.58</v>
      </c>
      <c r="F25" s="9">
        <f t="shared" si="2"/>
        <v>9122.15</v>
      </c>
      <c r="G25" s="9">
        <f t="shared" si="3"/>
        <v>1824.43</v>
      </c>
      <c r="H25" s="11">
        <f>875+200</f>
        <v>1075</v>
      </c>
      <c r="I25" s="9">
        <f t="shared" si="4"/>
        <v>977.27272727272714</v>
      </c>
      <c r="J25" s="9">
        <f t="shared" si="5"/>
        <v>97.72727272727272</v>
      </c>
      <c r="K25" s="11">
        <f>2400+875.54</f>
        <v>3275.54</v>
      </c>
      <c r="L25" s="9">
        <f t="shared" si="6"/>
        <v>2729.6166666666668</v>
      </c>
      <c r="M25" s="9">
        <f t="shared" si="7"/>
        <v>545.9233333333334</v>
      </c>
      <c r="N25" s="11">
        <v>1534.77</v>
      </c>
      <c r="O25" s="9">
        <f t="shared" si="8"/>
        <v>1278.9750000000001</v>
      </c>
      <c r="P25" s="9">
        <f t="shared" si="9"/>
        <v>255.79500000000004</v>
      </c>
      <c r="Q25" s="9">
        <v>0</v>
      </c>
      <c r="R25" s="11">
        <f>32115+9840</f>
        <v>41955</v>
      </c>
      <c r="S25" s="9">
        <v>0</v>
      </c>
      <c r="T25" s="9">
        <v>0</v>
      </c>
      <c r="U25" s="17">
        <f>25530+5000</f>
        <v>30530</v>
      </c>
      <c r="V25" s="3"/>
    </row>
    <row r="26" spans="1:22" x14ac:dyDescent="0.3">
      <c r="A26" s="8">
        <v>45714</v>
      </c>
      <c r="B26" s="11">
        <f>3060+19750+11925</f>
        <v>34735</v>
      </c>
      <c r="C26" s="9">
        <f t="shared" si="0"/>
        <v>31577.272727272724</v>
      </c>
      <c r="D26" s="9">
        <f t="shared" si="1"/>
        <v>3157.7272727272725</v>
      </c>
      <c r="E26" s="11">
        <f>1550+14690+2165</f>
        <v>18405</v>
      </c>
      <c r="F26" s="9">
        <f t="shared" si="2"/>
        <v>15337.5</v>
      </c>
      <c r="G26" s="9">
        <f t="shared" si="3"/>
        <v>3067.5</v>
      </c>
      <c r="H26" s="11">
        <f>325+1150</f>
        <v>1475</v>
      </c>
      <c r="I26" s="9">
        <f t="shared" si="4"/>
        <v>1340.9090909090908</v>
      </c>
      <c r="J26" s="9">
        <f t="shared" si="5"/>
        <v>134.09090909090909</v>
      </c>
      <c r="K26" s="11">
        <f>300+1800+1300</f>
        <v>3400</v>
      </c>
      <c r="L26" s="9">
        <f t="shared" si="6"/>
        <v>2833.3333333333335</v>
      </c>
      <c r="M26" s="9">
        <f t="shared" si="7"/>
        <v>566.66666666666674</v>
      </c>
      <c r="N26" s="11">
        <v>265</v>
      </c>
      <c r="O26" s="9">
        <f t="shared" si="8"/>
        <v>220.83333333333334</v>
      </c>
      <c r="P26" s="9">
        <f t="shared" si="9"/>
        <v>44.166666666666671</v>
      </c>
      <c r="Q26" s="9">
        <f>0</f>
        <v>0</v>
      </c>
      <c r="R26" s="11">
        <f>4910+36830+16540</f>
        <v>58280</v>
      </c>
      <c r="S26" s="9">
        <v>0</v>
      </c>
      <c r="T26" s="11">
        <v>6472</v>
      </c>
      <c r="U26" s="17">
        <f>35213</f>
        <v>35213</v>
      </c>
      <c r="V26" s="3"/>
    </row>
    <row r="27" spans="1:22" x14ac:dyDescent="0.3">
      <c r="A27" s="8">
        <v>45715</v>
      </c>
      <c r="B27" s="11">
        <f>1995+3235+30550</f>
        <v>35780</v>
      </c>
      <c r="C27" s="9">
        <f t="shared" si="0"/>
        <v>32527.272727272724</v>
      </c>
      <c r="D27" s="9">
        <f t="shared" si="1"/>
        <v>3252.7272727272725</v>
      </c>
      <c r="E27" s="11">
        <f>3900+2200+11750</f>
        <v>17850</v>
      </c>
      <c r="F27" s="9">
        <f t="shared" si="2"/>
        <v>14875</v>
      </c>
      <c r="G27" s="9">
        <f t="shared" si="3"/>
        <v>2975</v>
      </c>
      <c r="H27" s="11">
        <f>200+620</f>
        <v>820</v>
      </c>
      <c r="I27" s="9">
        <f t="shared" si="4"/>
        <v>745.45454545454538</v>
      </c>
      <c r="J27" s="9">
        <f t="shared" si="5"/>
        <v>74.545454545454547</v>
      </c>
      <c r="K27" s="11">
        <f>300+3600+300</f>
        <v>4200</v>
      </c>
      <c r="L27" s="9">
        <f t="shared" si="6"/>
        <v>3500</v>
      </c>
      <c r="M27" s="9">
        <f t="shared" si="7"/>
        <v>700</v>
      </c>
      <c r="N27" s="11">
        <v>1050</v>
      </c>
      <c r="O27" s="9">
        <f t="shared" si="8"/>
        <v>875</v>
      </c>
      <c r="P27" s="9">
        <f t="shared" si="9"/>
        <v>175</v>
      </c>
      <c r="Q27" s="11">
        <v>3170</v>
      </c>
      <c r="R27" s="11">
        <f>6395+5735+44400</f>
        <v>56530</v>
      </c>
      <c r="S27" s="9">
        <v>0</v>
      </c>
      <c r="T27" s="9">
        <v>0</v>
      </c>
      <c r="U27" s="17">
        <f>19600+7775</f>
        <v>27375</v>
      </c>
      <c r="V27" s="3"/>
    </row>
    <row r="28" spans="1:22" x14ac:dyDescent="0.3">
      <c r="A28" s="8">
        <v>45716</v>
      </c>
      <c r="B28" s="11">
        <f>2100+2090+2350+450+41780</f>
        <v>48770</v>
      </c>
      <c r="C28" s="9">
        <f t="shared" si="0"/>
        <v>44336.363636363632</v>
      </c>
      <c r="D28" s="9">
        <f t="shared" si="1"/>
        <v>4433.6363636363631</v>
      </c>
      <c r="E28" s="11">
        <f>3050+12325</f>
        <v>15375</v>
      </c>
      <c r="F28" s="9">
        <f t="shared" si="2"/>
        <v>12812.5</v>
      </c>
      <c r="G28" s="9">
        <f t="shared" si="3"/>
        <v>2562.5</v>
      </c>
      <c r="H28" s="11">
        <f>170+1275+135+2025</f>
        <v>3605</v>
      </c>
      <c r="I28" s="9">
        <f t="shared" si="4"/>
        <v>3277.272727272727</v>
      </c>
      <c r="J28" s="9">
        <f t="shared" si="5"/>
        <v>327.72727272727275</v>
      </c>
      <c r="K28" s="11">
        <f>300+450+300+600+4450</f>
        <v>6100</v>
      </c>
      <c r="L28" s="9">
        <f t="shared" si="6"/>
        <v>5083.3333333333339</v>
      </c>
      <c r="M28" s="9">
        <f t="shared" si="7"/>
        <v>1016.6666666666669</v>
      </c>
      <c r="N28" s="11">
        <f>450+300+900</f>
        <v>1650</v>
      </c>
      <c r="O28" s="9">
        <f t="shared" si="8"/>
        <v>1375</v>
      </c>
      <c r="P28" s="9">
        <f t="shared" si="9"/>
        <v>275</v>
      </c>
      <c r="Q28" s="11">
        <f>3250</f>
        <v>3250</v>
      </c>
      <c r="R28" s="11">
        <f>2570+4265+3085+4100+58230</f>
        <v>72250</v>
      </c>
      <c r="S28" s="9">
        <v>0</v>
      </c>
      <c r="T28" s="9">
        <v>0</v>
      </c>
      <c r="U28" s="17">
        <f>16620+21610+7300</f>
        <v>45530</v>
      </c>
      <c r="V28" s="3"/>
    </row>
    <row r="29" spans="1:22" x14ac:dyDescent="0.3">
      <c r="B29" s="6">
        <f>SUM(B3:B28)</f>
        <v>1323225.0200000003</v>
      </c>
      <c r="C29" s="10">
        <f>B29/1.1</f>
        <v>1202931.8363636364</v>
      </c>
      <c r="D29" s="10">
        <f t="shared" ref="D29" si="18">C29*10/100</f>
        <v>120293.18363636364</v>
      </c>
      <c r="E29" s="6">
        <f>SUM(E3:E28)</f>
        <v>669697.77999999991</v>
      </c>
      <c r="F29" s="10">
        <f t="shared" si="2"/>
        <v>558081.48333333328</v>
      </c>
      <c r="G29" s="10">
        <f t="shared" ref="G29" si="19">F29*20/100</f>
        <v>111616.29666666666</v>
      </c>
      <c r="H29" s="6">
        <f>SUM(H3:H28)</f>
        <v>65135.06</v>
      </c>
      <c r="I29" s="10">
        <f t="shared" si="4"/>
        <v>59213.690909090903</v>
      </c>
      <c r="J29" s="10">
        <f t="shared" ref="J29" si="20">I29*10/100</f>
        <v>5921.369090909091</v>
      </c>
      <c r="K29" s="6">
        <f>SUM(K3:K28)</f>
        <v>155764.22</v>
      </c>
      <c r="L29" s="10">
        <f t="shared" si="6"/>
        <v>129803.51666666668</v>
      </c>
      <c r="M29" s="10">
        <f t="shared" ref="M29" si="21">L29*20/100</f>
        <v>25960.703333333335</v>
      </c>
      <c r="N29" s="6">
        <f>SUM(N3:N28)</f>
        <v>33300.42</v>
      </c>
      <c r="O29" s="10">
        <f t="shared" si="8"/>
        <v>27750.35</v>
      </c>
      <c r="P29" s="10">
        <f t="shared" ref="P29" si="22">O29*20/100</f>
        <v>5550.07</v>
      </c>
      <c r="Q29" s="6">
        <f>SUM(Q3:Q28)</f>
        <v>94363</v>
      </c>
      <c r="R29" s="6">
        <f>SUM(R3:R28)</f>
        <v>2080132.5</v>
      </c>
      <c r="S29" s="6"/>
      <c r="T29" s="6">
        <f>SUM(T3:T28)</f>
        <v>22297</v>
      </c>
      <c r="U29" s="6">
        <f>SUM(U4:U28)</f>
        <v>1030415</v>
      </c>
      <c r="V29" s="3"/>
    </row>
    <row r="30" spans="1:22" x14ac:dyDescent="0.3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1:22" x14ac:dyDescent="0.3">
      <c r="H31" s="5"/>
    </row>
    <row r="32" spans="1:22" s="23" customFormat="1" x14ac:dyDescent="0.3">
      <c r="A32" s="23" t="s">
        <v>23</v>
      </c>
      <c r="V32" s="24"/>
    </row>
    <row r="33" spans="1:22" s="23" customFormat="1" x14ac:dyDescent="0.3">
      <c r="A33" s="23" t="s">
        <v>21</v>
      </c>
      <c r="B33" s="23">
        <v>2100</v>
      </c>
      <c r="E33" s="23">
        <v>0</v>
      </c>
      <c r="H33" s="23">
        <v>170</v>
      </c>
      <c r="K33" s="23">
        <v>300</v>
      </c>
      <c r="N33" s="23">
        <v>0</v>
      </c>
      <c r="Q33" s="23">
        <v>0</v>
      </c>
      <c r="R33" s="23">
        <v>2570</v>
      </c>
      <c r="V33" s="24"/>
    </row>
    <row r="34" spans="1:22" s="23" customFormat="1" x14ac:dyDescent="0.3">
      <c r="A34" s="24" t="s">
        <v>22</v>
      </c>
      <c r="B34" s="23">
        <v>450</v>
      </c>
      <c r="E34" s="23">
        <v>3050</v>
      </c>
      <c r="H34" s="23">
        <v>0</v>
      </c>
      <c r="K34" s="23">
        <v>600</v>
      </c>
      <c r="N34" s="23">
        <v>0</v>
      </c>
      <c r="Q34" s="23">
        <v>0</v>
      </c>
      <c r="R34" s="23">
        <v>4100</v>
      </c>
      <c r="V34" s="24"/>
    </row>
    <row r="35" spans="1:22" s="21" customFormat="1" x14ac:dyDescent="0.3">
      <c r="A35" s="22"/>
      <c r="V35" s="22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4"/>
  <sheetViews>
    <sheetView topLeftCell="A7" workbookViewId="0">
      <selection activeCell="O20" sqref="O20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19" width="11.6640625" customWidth="1"/>
    <col min="20" max="21" width="13.88671875" customWidth="1"/>
    <col min="22" max="22" width="32.109375" style="4" bestFit="1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39" t="s">
        <v>8</v>
      </c>
      <c r="U1" s="40"/>
      <c r="V1" s="12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">
      <c r="A3" s="8">
        <v>45717</v>
      </c>
      <c r="B3" s="11">
        <f>15000+6000+2100+450</f>
        <v>23550</v>
      </c>
      <c r="C3" s="9">
        <f>B3/1.1</f>
        <v>21409.090909090908</v>
      </c>
      <c r="D3" s="9">
        <f>C3*0.1</f>
        <v>2140.909090909091</v>
      </c>
      <c r="E3" s="11">
        <v>3050</v>
      </c>
      <c r="F3" s="9">
        <f>E3/1.2</f>
        <v>2541.666666666667</v>
      </c>
      <c r="G3" s="9">
        <f>F3*0.2</f>
        <v>508.33333333333343</v>
      </c>
      <c r="H3" s="11">
        <f>400+640+170</f>
        <v>1210</v>
      </c>
      <c r="I3" s="9">
        <f>H3/1.1</f>
        <v>1100</v>
      </c>
      <c r="J3" s="9">
        <f>I3*0.1</f>
        <v>110</v>
      </c>
      <c r="K3" s="11">
        <v>900</v>
      </c>
      <c r="L3" s="9">
        <f>K3/1.2</f>
        <v>750</v>
      </c>
      <c r="M3" s="9">
        <f>L3*0.2</f>
        <v>150</v>
      </c>
      <c r="N3" s="11">
        <f>620+700</f>
        <v>1320</v>
      </c>
      <c r="O3" s="9">
        <f>N3/1.2</f>
        <v>1100</v>
      </c>
      <c r="P3" s="9">
        <f>O3*0.2</f>
        <v>220</v>
      </c>
      <c r="Q3" s="9">
        <v>0</v>
      </c>
      <c r="R3" s="11">
        <f>16020+7340+4100+2570</f>
        <v>30030</v>
      </c>
      <c r="S3" s="9">
        <v>0</v>
      </c>
      <c r="T3" s="9">
        <v>0</v>
      </c>
      <c r="U3" s="17">
        <v>25500</v>
      </c>
      <c r="V3" s="18"/>
    </row>
    <row r="4" spans="1:22" x14ac:dyDescent="0.3">
      <c r="A4" s="8">
        <v>45718</v>
      </c>
      <c r="B4" s="11">
        <v>18000</v>
      </c>
      <c r="C4" s="9">
        <f t="shared" ref="C4:C31" si="0">B4/1.1</f>
        <v>16363.636363636362</v>
      </c>
      <c r="D4" s="9">
        <f t="shared" ref="D4:D31" si="1">C4*0.1</f>
        <v>1636.3636363636363</v>
      </c>
      <c r="E4" s="9">
        <v>0</v>
      </c>
      <c r="F4" s="9">
        <f t="shared" ref="F4:F32" si="2">E4/1.2</f>
        <v>0</v>
      </c>
      <c r="G4" s="9">
        <f t="shared" ref="G4:G31" si="3">F4*0.2</f>
        <v>0</v>
      </c>
      <c r="H4" s="11">
        <v>200</v>
      </c>
      <c r="I4" s="9">
        <f t="shared" ref="I4:I32" si="4">H4/1.1</f>
        <v>181.81818181818181</v>
      </c>
      <c r="J4" s="9">
        <f t="shared" ref="J4:J31" si="5">I4*0.1</f>
        <v>18.181818181818183</v>
      </c>
      <c r="K4" s="9">
        <v>0</v>
      </c>
      <c r="L4" s="9">
        <f t="shared" ref="L4:L32" si="6">K4/1.2</f>
        <v>0</v>
      </c>
      <c r="M4" s="9">
        <f t="shared" ref="M4:M31" si="7">L4*0.2</f>
        <v>0</v>
      </c>
      <c r="N4" s="11">
        <v>450</v>
      </c>
      <c r="O4" s="9">
        <f t="shared" ref="O4:O32" si="8">N4/1.2</f>
        <v>375</v>
      </c>
      <c r="P4" s="9">
        <f t="shared" ref="P4:P31" si="9">O4*0.2</f>
        <v>75</v>
      </c>
      <c r="Q4" s="11">
        <v>2000</v>
      </c>
      <c r="R4" s="11">
        <v>16650</v>
      </c>
      <c r="S4" s="9">
        <v>0</v>
      </c>
      <c r="T4" s="9">
        <v>0</v>
      </c>
      <c r="U4" s="14">
        <v>0</v>
      </c>
      <c r="V4" s="3"/>
    </row>
    <row r="5" spans="1:22" x14ac:dyDescent="0.3">
      <c r="A5" s="8">
        <v>45719</v>
      </c>
      <c r="B5" s="11">
        <v>22500</v>
      </c>
      <c r="C5" s="9">
        <f t="shared" si="0"/>
        <v>20454.545454545452</v>
      </c>
      <c r="D5" s="9">
        <f t="shared" si="1"/>
        <v>2045.4545454545453</v>
      </c>
      <c r="E5" s="9">
        <v>0</v>
      </c>
      <c r="F5" s="9">
        <f t="shared" si="2"/>
        <v>0</v>
      </c>
      <c r="G5" s="9">
        <f t="shared" si="3"/>
        <v>0</v>
      </c>
      <c r="H5" s="11">
        <v>1040</v>
      </c>
      <c r="I5" s="9">
        <f t="shared" si="4"/>
        <v>945.45454545454538</v>
      </c>
      <c r="J5" s="9">
        <f t="shared" si="5"/>
        <v>94.545454545454547</v>
      </c>
      <c r="K5" s="9">
        <v>0</v>
      </c>
      <c r="L5" s="9">
        <f t="shared" si="6"/>
        <v>0</v>
      </c>
      <c r="M5" s="9">
        <f t="shared" si="7"/>
        <v>0</v>
      </c>
      <c r="N5" s="9">
        <v>0</v>
      </c>
      <c r="O5" s="9">
        <f t="shared" si="8"/>
        <v>0</v>
      </c>
      <c r="P5" s="9">
        <f t="shared" si="9"/>
        <v>0</v>
      </c>
      <c r="Q5" s="11">
        <v>3000</v>
      </c>
      <c r="R5" s="11">
        <v>20540</v>
      </c>
      <c r="S5" s="9">
        <v>0</v>
      </c>
      <c r="T5" s="9">
        <v>0</v>
      </c>
      <c r="U5" s="14">
        <v>0</v>
      </c>
      <c r="V5" s="3"/>
    </row>
    <row r="6" spans="1:22" x14ac:dyDescent="0.3">
      <c r="A6" s="8">
        <v>45720</v>
      </c>
      <c r="B6" s="11">
        <f>24000+3000</f>
        <v>27000</v>
      </c>
      <c r="C6" s="9">
        <f t="shared" si="0"/>
        <v>24545.454545454544</v>
      </c>
      <c r="D6" s="9">
        <f t="shared" si="1"/>
        <v>2454.5454545454545</v>
      </c>
      <c r="E6" s="9">
        <v>0</v>
      </c>
      <c r="F6" s="9">
        <f t="shared" si="2"/>
        <v>0</v>
      </c>
      <c r="G6" s="9">
        <f t="shared" si="3"/>
        <v>0</v>
      </c>
      <c r="H6" s="11">
        <v>870</v>
      </c>
      <c r="I6" s="9">
        <f t="shared" si="4"/>
        <v>790.90909090909088</v>
      </c>
      <c r="J6" s="9">
        <f t="shared" si="5"/>
        <v>79.090909090909093</v>
      </c>
      <c r="K6" s="9">
        <v>0</v>
      </c>
      <c r="L6" s="9">
        <f t="shared" si="6"/>
        <v>0</v>
      </c>
      <c r="M6" s="9">
        <f t="shared" si="7"/>
        <v>0</v>
      </c>
      <c r="N6" s="9">
        <v>0</v>
      </c>
      <c r="O6" s="9">
        <f t="shared" si="8"/>
        <v>0</v>
      </c>
      <c r="P6" s="9">
        <f t="shared" si="9"/>
        <v>0</v>
      </c>
      <c r="Q6" s="11">
        <v>1600</v>
      </c>
      <c r="R6" s="11">
        <f>23270+3000</f>
        <v>26270</v>
      </c>
      <c r="S6" s="9">
        <v>0</v>
      </c>
      <c r="T6" s="9">
        <v>0</v>
      </c>
      <c r="U6" s="14">
        <v>0</v>
      </c>
      <c r="V6" s="3"/>
    </row>
    <row r="7" spans="1:22" x14ac:dyDescent="0.3">
      <c r="A7" s="8">
        <v>45721</v>
      </c>
      <c r="B7" s="11">
        <f>12000+3000</f>
        <v>15000</v>
      </c>
      <c r="C7" s="9">
        <f t="shared" ref="C7:C17" si="10">B7/1.1</f>
        <v>13636.363636363636</v>
      </c>
      <c r="D7" s="9">
        <f t="shared" ref="D7:D17" si="11">C7*0.1</f>
        <v>1363.6363636363637</v>
      </c>
      <c r="E7" s="9">
        <v>0</v>
      </c>
      <c r="F7" s="9">
        <f t="shared" ref="F7:F17" si="12">E7/1.2</f>
        <v>0</v>
      </c>
      <c r="G7" s="9">
        <f t="shared" ref="G7:G17" si="13">F7*0.2</f>
        <v>0</v>
      </c>
      <c r="H7" s="11">
        <v>200</v>
      </c>
      <c r="I7" s="9">
        <f t="shared" ref="I7:I17" si="14">H7/1.1</f>
        <v>181.81818181818181</v>
      </c>
      <c r="J7" s="9">
        <f t="shared" ref="J7:J17" si="15">I7*0.1</f>
        <v>18.181818181818183</v>
      </c>
      <c r="K7" s="9">
        <v>0</v>
      </c>
      <c r="L7" s="9">
        <f t="shared" ref="L7:L17" si="16">K7/1.2</f>
        <v>0</v>
      </c>
      <c r="M7" s="9">
        <f t="shared" ref="M7:M17" si="17">L7*0.2</f>
        <v>0</v>
      </c>
      <c r="N7" s="9">
        <v>0</v>
      </c>
      <c r="O7" s="9">
        <f t="shared" ref="O7:O17" si="18">N7/1.2</f>
        <v>0</v>
      </c>
      <c r="P7" s="9">
        <f t="shared" ref="P7:P17" si="19">O7*0.2</f>
        <v>0</v>
      </c>
      <c r="Q7" s="11">
        <v>3000</v>
      </c>
      <c r="R7" s="11">
        <f>12200</f>
        <v>12200</v>
      </c>
      <c r="S7" s="9">
        <v>0</v>
      </c>
      <c r="T7" s="9">
        <v>0</v>
      </c>
      <c r="U7" s="17">
        <v>15000</v>
      </c>
      <c r="V7" s="3"/>
    </row>
    <row r="8" spans="1:22" x14ac:dyDescent="0.3">
      <c r="A8" s="8">
        <v>45722</v>
      </c>
      <c r="B8" s="11">
        <f>13500+45000</f>
        <v>58500</v>
      </c>
      <c r="C8" s="9">
        <f t="shared" si="10"/>
        <v>53181.818181818177</v>
      </c>
      <c r="D8" s="9">
        <f t="shared" si="11"/>
        <v>5318.181818181818</v>
      </c>
      <c r="E8" s="9">
        <v>0</v>
      </c>
      <c r="F8" s="9">
        <f t="shared" si="12"/>
        <v>0</v>
      </c>
      <c r="G8" s="9">
        <f t="shared" si="13"/>
        <v>0</v>
      </c>
      <c r="H8" s="11">
        <f>220+965</f>
        <v>1185</v>
      </c>
      <c r="I8" s="9">
        <f t="shared" si="14"/>
        <v>1077.2727272727273</v>
      </c>
      <c r="J8" s="9">
        <f t="shared" si="15"/>
        <v>107.72727272727273</v>
      </c>
      <c r="K8" s="9">
        <v>0</v>
      </c>
      <c r="L8" s="9">
        <f t="shared" si="16"/>
        <v>0</v>
      </c>
      <c r="M8" s="9">
        <f t="shared" si="17"/>
        <v>0</v>
      </c>
      <c r="N8" s="11">
        <v>500</v>
      </c>
      <c r="O8" s="9">
        <f t="shared" si="18"/>
        <v>416.66666666666669</v>
      </c>
      <c r="P8" s="9">
        <f t="shared" si="19"/>
        <v>83.333333333333343</v>
      </c>
      <c r="Q8" s="11">
        <v>6115</v>
      </c>
      <c r="R8" s="11">
        <f>14220+39850</f>
        <v>54070</v>
      </c>
      <c r="S8" s="9">
        <v>0</v>
      </c>
      <c r="T8" s="9">
        <v>0</v>
      </c>
      <c r="U8" s="17">
        <v>11500</v>
      </c>
      <c r="V8" s="3"/>
    </row>
    <row r="9" spans="1:22" x14ac:dyDescent="0.3">
      <c r="A9" s="8">
        <v>45723</v>
      </c>
      <c r="B9" s="11">
        <f>27900+26400</f>
        <v>54300</v>
      </c>
      <c r="C9" s="9">
        <f t="shared" si="10"/>
        <v>49363.63636363636</v>
      </c>
      <c r="D9" s="9">
        <f t="shared" si="11"/>
        <v>4936.363636363636</v>
      </c>
      <c r="E9" s="9">
        <v>0</v>
      </c>
      <c r="F9" s="9">
        <f t="shared" si="12"/>
        <v>0</v>
      </c>
      <c r="G9" s="9">
        <f t="shared" si="13"/>
        <v>0</v>
      </c>
      <c r="H9" s="11">
        <v>1085</v>
      </c>
      <c r="I9" s="9">
        <f t="shared" si="14"/>
        <v>986.36363636363626</v>
      </c>
      <c r="J9" s="9">
        <f t="shared" si="15"/>
        <v>98.636363636363626</v>
      </c>
      <c r="K9" s="9">
        <v>0</v>
      </c>
      <c r="L9" s="9">
        <f t="shared" si="16"/>
        <v>0</v>
      </c>
      <c r="M9" s="9">
        <f t="shared" si="17"/>
        <v>0</v>
      </c>
      <c r="N9" s="11">
        <v>1200</v>
      </c>
      <c r="O9" s="9">
        <f t="shared" si="18"/>
        <v>1000</v>
      </c>
      <c r="P9" s="9">
        <f t="shared" si="19"/>
        <v>200</v>
      </c>
      <c r="Q9" s="11">
        <f>3000+6000</f>
        <v>9000</v>
      </c>
      <c r="R9" s="11">
        <f>27185+20400</f>
        <v>47585</v>
      </c>
      <c r="S9" s="9">
        <v>0</v>
      </c>
      <c r="T9" s="9">
        <v>0</v>
      </c>
      <c r="U9" s="17">
        <v>22050</v>
      </c>
      <c r="V9" s="3"/>
    </row>
    <row r="10" spans="1:22" x14ac:dyDescent="0.3">
      <c r="A10" s="8">
        <v>45724</v>
      </c>
      <c r="B10" s="11">
        <f>83250+15000</f>
        <v>98250</v>
      </c>
      <c r="C10" s="9">
        <f t="shared" si="10"/>
        <v>89318.181818181809</v>
      </c>
      <c r="D10" s="9">
        <f t="shared" si="11"/>
        <v>8931.818181818182</v>
      </c>
      <c r="E10" s="9">
        <v>0</v>
      </c>
      <c r="F10" s="9">
        <f t="shared" si="12"/>
        <v>0</v>
      </c>
      <c r="G10" s="9">
        <f t="shared" si="13"/>
        <v>0</v>
      </c>
      <c r="H10" s="11">
        <f>595+335</f>
        <v>930</v>
      </c>
      <c r="I10" s="9">
        <f t="shared" si="14"/>
        <v>845.45454545454538</v>
      </c>
      <c r="J10" s="9">
        <f t="shared" si="15"/>
        <v>84.545454545454547</v>
      </c>
      <c r="K10" s="9">
        <v>0</v>
      </c>
      <c r="L10" s="9">
        <f t="shared" si="16"/>
        <v>0</v>
      </c>
      <c r="M10" s="9">
        <f t="shared" si="17"/>
        <v>0</v>
      </c>
      <c r="N10" s="11">
        <v>300</v>
      </c>
      <c r="O10" s="9">
        <f t="shared" si="18"/>
        <v>250</v>
      </c>
      <c r="P10" s="9">
        <f t="shared" si="19"/>
        <v>50</v>
      </c>
      <c r="Q10" s="11">
        <f>10500+135</f>
        <v>10635</v>
      </c>
      <c r="R10" s="11">
        <f>73645+15200</f>
        <v>88845</v>
      </c>
      <c r="S10" s="9">
        <v>0</v>
      </c>
      <c r="T10" s="9">
        <v>0</v>
      </c>
      <c r="U10" s="14">
        <v>0</v>
      </c>
      <c r="V10" s="3"/>
    </row>
    <row r="11" spans="1:22" ht="13.8" customHeight="1" x14ac:dyDescent="0.3">
      <c r="A11" s="8">
        <v>45725</v>
      </c>
      <c r="B11" s="11">
        <v>50400</v>
      </c>
      <c r="C11" s="9">
        <f t="shared" si="10"/>
        <v>45818.181818181816</v>
      </c>
      <c r="D11" s="9">
        <f t="shared" si="11"/>
        <v>4581.818181818182</v>
      </c>
      <c r="E11" s="9">
        <v>0</v>
      </c>
      <c r="F11" s="9">
        <f t="shared" si="12"/>
        <v>0</v>
      </c>
      <c r="G11" s="9">
        <f t="shared" si="13"/>
        <v>0</v>
      </c>
      <c r="H11" s="11">
        <v>315</v>
      </c>
      <c r="I11" s="9">
        <f t="shared" si="14"/>
        <v>286.36363636363632</v>
      </c>
      <c r="J11" s="9">
        <f t="shared" si="15"/>
        <v>28.636363636363633</v>
      </c>
      <c r="K11" s="9">
        <v>0</v>
      </c>
      <c r="L11" s="9">
        <f t="shared" si="16"/>
        <v>0</v>
      </c>
      <c r="M11" s="9">
        <f t="shared" si="17"/>
        <v>0</v>
      </c>
      <c r="N11" s="11">
        <v>1000</v>
      </c>
      <c r="O11" s="9">
        <f t="shared" si="18"/>
        <v>833.33333333333337</v>
      </c>
      <c r="P11" s="9">
        <f t="shared" si="19"/>
        <v>166.66666666666669</v>
      </c>
      <c r="Q11" s="11">
        <v>6000</v>
      </c>
      <c r="R11" s="11">
        <f>45715-6500</f>
        <v>39215</v>
      </c>
      <c r="S11" s="11">
        <v>6500</v>
      </c>
      <c r="T11" s="9">
        <v>0</v>
      </c>
      <c r="U11" s="17">
        <f>21850+21710</f>
        <v>43560</v>
      </c>
      <c r="V11" s="3"/>
    </row>
    <row r="12" spans="1:22" x14ac:dyDescent="0.3">
      <c r="A12" s="8">
        <v>45726</v>
      </c>
      <c r="B12" s="11">
        <f>13500+6000</f>
        <v>19500</v>
      </c>
      <c r="C12" s="9">
        <f t="shared" si="10"/>
        <v>17727.272727272724</v>
      </c>
      <c r="D12" s="9">
        <f t="shared" si="11"/>
        <v>1772.7272727272725</v>
      </c>
      <c r="E12" s="9">
        <v>0</v>
      </c>
      <c r="F12" s="9">
        <f t="shared" si="12"/>
        <v>0</v>
      </c>
      <c r="G12" s="9">
        <f t="shared" si="13"/>
        <v>0</v>
      </c>
      <c r="H12" s="11">
        <f>315+115</f>
        <v>430</v>
      </c>
      <c r="I12" s="9">
        <f t="shared" si="14"/>
        <v>390.90909090909088</v>
      </c>
      <c r="J12" s="9">
        <f t="shared" si="15"/>
        <v>39.090909090909093</v>
      </c>
      <c r="K12" s="9">
        <v>0</v>
      </c>
      <c r="L12" s="9">
        <f t="shared" si="16"/>
        <v>0</v>
      </c>
      <c r="M12" s="9">
        <f t="shared" si="17"/>
        <v>0</v>
      </c>
      <c r="N12" s="11">
        <f>300+600</f>
        <v>900</v>
      </c>
      <c r="O12" s="9">
        <f t="shared" si="18"/>
        <v>750</v>
      </c>
      <c r="P12" s="9">
        <f t="shared" si="19"/>
        <v>150</v>
      </c>
      <c r="Q12" s="9">
        <v>0</v>
      </c>
      <c r="R12" s="11">
        <f>14115+6715</f>
        <v>20830</v>
      </c>
      <c r="S12" s="9">
        <v>0</v>
      </c>
      <c r="T12" s="9">
        <v>0</v>
      </c>
      <c r="U12" s="17">
        <v>8000</v>
      </c>
      <c r="V12" s="3"/>
    </row>
    <row r="13" spans="1:22" x14ac:dyDescent="0.3">
      <c r="A13" s="8">
        <v>45727</v>
      </c>
      <c r="B13" s="11">
        <f>22500+12000</f>
        <v>34500</v>
      </c>
      <c r="C13" s="9">
        <f t="shared" si="10"/>
        <v>31363.63636363636</v>
      </c>
      <c r="D13" s="9">
        <f t="shared" si="11"/>
        <v>3136.363636363636</v>
      </c>
      <c r="E13" s="9">
        <v>0</v>
      </c>
      <c r="F13" s="9">
        <f t="shared" si="12"/>
        <v>0</v>
      </c>
      <c r="G13" s="9">
        <f t="shared" si="13"/>
        <v>0</v>
      </c>
      <c r="H13" s="11">
        <f>720+200</f>
        <v>920</v>
      </c>
      <c r="I13" s="9">
        <f t="shared" si="14"/>
        <v>836.36363636363626</v>
      </c>
      <c r="J13" s="9">
        <f t="shared" si="15"/>
        <v>83.636363636363626</v>
      </c>
      <c r="K13" s="9">
        <v>0</v>
      </c>
      <c r="L13" s="9">
        <f t="shared" si="16"/>
        <v>0</v>
      </c>
      <c r="M13" s="9">
        <f t="shared" si="17"/>
        <v>0</v>
      </c>
      <c r="N13" s="11">
        <v>600</v>
      </c>
      <c r="O13" s="9">
        <f t="shared" si="18"/>
        <v>500</v>
      </c>
      <c r="P13" s="9">
        <f t="shared" si="19"/>
        <v>100</v>
      </c>
      <c r="Q13" s="9">
        <v>0</v>
      </c>
      <c r="R13" s="11">
        <f>23820+12200</f>
        <v>36020</v>
      </c>
      <c r="S13" s="9">
        <v>0</v>
      </c>
      <c r="T13" s="9">
        <v>0</v>
      </c>
      <c r="U13" s="17">
        <v>25800</v>
      </c>
      <c r="V13" s="3"/>
    </row>
    <row r="14" spans="1:22" x14ac:dyDescent="0.3">
      <c r="A14" s="8">
        <v>45728</v>
      </c>
      <c r="B14" s="11">
        <f>36900+21350</f>
        <v>58250</v>
      </c>
      <c r="C14" s="9">
        <f t="shared" si="10"/>
        <v>52954.545454545449</v>
      </c>
      <c r="D14" s="9">
        <f t="shared" si="11"/>
        <v>5295.454545454545</v>
      </c>
      <c r="E14" s="9">
        <v>0</v>
      </c>
      <c r="F14" s="9">
        <f t="shared" si="12"/>
        <v>0</v>
      </c>
      <c r="G14" s="9">
        <f t="shared" si="13"/>
        <v>0</v>
      </c>
      <c r="H14" s="11">
        <f>685+200</f>
        <v>885</v>
      </c>
      <c r="I14" s="9">
        <f t="shared" si="14"/>
        <v>804.5454545454545</v>
      </c>
      <c r="J14" s="9">
        <f t="shared" si="15"/>
        <v>80.454545454545453</v>
      </c>
      <c r="K14" s="9">
        <v>0</v>
      </c>
      <c r="L14" s="9">
        <f t="shared" si="16"/>
        <v>0</v>
      </c>
      <c r="M14" s="9">
        <f t="shared" si="17"/>
        <v>0</v>
      </c>
      <c r="N14" s="11">
        <f>1350+450</f>
        <v>1800</v>
      </c>
      <c r="O14" s="9">
        <f t="shared" si="18"/>
        <v>1500</v>
      </c>
      <c r="P14" s="9">
        <f t="shared" si="19"/>
        <v>300</v>
      </c>
      <c r="Q14" s="11">
        <v>3000</v>
      </c>
      <c r="R14" s="11">
        <f>38935+19000</f>
        <v>57935</v>
      </c>
      <c r="S14" s="9">
        <v>0</v>
      </c>
      <c r="T14" s="9">
        <v>0</v>
      </c>
      <c r="U14" s="17">
        <f>10700+24785+14850</f>
        <v>50335</v>
      </c>
      <c r="V14" s="3"/>
    </row>
    <row r="15" spans="1:22" x14ac:dyDescent="0.3">
      <c r="A15" s="8">
        <v>45729</v>
      </c>
      <c r="B15" s="11">
        <f>15000+13500</f>
        <v>28500</v>
      </c>
      <c r="C15" s="9">
        <f t="shared" si="10"/>
        <v>25909.090909090908</v>
      </c>
      <c r="D15" s="9">
        <f t="shared" si="11"/>
        <v>2590.909090909091</v>
      </c>
      <c r="E15" s="9">
        <v>0</v>
      </c>
      <c r="F15" s="9">
        <f t="shared" si="12"/>
        <v>0</v>
      </c>
      <c r="G15" s="9">
        <f t="shared" si="13"/>
        <v>0</v>
      </c>
      <c r="H15" s="11">
        <v>705</v>
      </c>
      <c r="I15" s="9">
        <f t="shared" si="14"/>
        <v>640.90909090909088</v>
      </c>
      <c r="J15" s="9">
        <f t="shared" si="15"/>
        <v>64.090909090909093</v>
      </c>
      <c r="K15" s="9">
        <v>0</v>
      </c>
      <c r="L15" s="9">
        <f t="shared" si="16"/>
        <v>0</v>
      </c>
      <c r="M15" s="9">
        <f t="shared" si="17"/>
        <v>0</v>
      </c>
      <c r="N15" s="9">
        <v>0</v>
      </c>
      <c r="O15" s="9">
        <f t="shared" si="18"/>
        <v>0</v>
      </c>
      <c r="P15" s="9">
        <f t="shared" si="19"/>
        <v>0</v>
      </c>
      <c r="Q15" s="9">
        <v>0</v>
      </c>
      <c r="R15" s="11">
        <f>14205+15000</f>
        <v>29205</v>
      </c>
      <c r="S15" s="9">
        <v>0</v>
      </c>
      <c r="T15" s="9">
        <v>0</v>
      </c>
      <c r="U15" s="17">
        <v>10350</v>
      </c>
      <c r="V15" s="3"/>
    </row>
    <row r="16" spans="1:22" x14ac:dyDescent="0.3">
      <c r="A16" s="8">
        <v>45730</v>
      </c>
      <c r="B16" s="11">
        <f>31500+23250</f>
        <v>54750</v>
      </c>
      <c r="C16" s="9">
        <f t="shared" si="10"/>
        <v>49772.727272727272</v>
      </c>
      <c r="D16" s="9">
        <f t="shared" si="11"/>
        <v>4977.2727272727279</v>
      </c>
      <c r="E16" s="9">
        <v>0</v>
      </c>
      <c r="F16" s="9">
        <f t="shared" si="12"/>
        <v>0</v>
      </c>
      <c r="G16" s="9">
        <f t="shared" si="13"/>
        <v>0</v>
      </c>
      <c r="H16" s="11">
        <f>1370+725</f>
        <v>2095</v>
      </c>
      <c r="I16" s="9">
        <f t="shared" si="14"/>
        <v>1904.5454545454545</v>
      </c>
      <c r="J16" s="9">
        <f t="shared" si="15"/>
        <v>190.45454545454547</v>
      </c>
      <c r="K16" s="9">
        <v>0</v>
      </c>
      <c r="L16" s="9">
        <f t="shared" si="16"/>
        <v>0</v>
      </c>
      <c r="M16" s="9">
        <f t="shared" si="17"/>
        <v>0</v>
      </c>
      <c r="N16" s="11">
        <f>450+750</f>
        <v>1200</v>
      </c>
      <c r="O16" s="9">
        <f t="shared" si="18"/>
        <v>1000</v>
      </c>
      <c r="P16" s="9">
        <f t="shared" si="19"/>
        <v>200</v>
      </c>
      <c r="Q16" s="9">
        <v>0</v>
      </c>
      <c r="R16" s="11">
        <f>28370+24725</f>
        <v>53095</v>
      </c>
      <c r="S16" s="11">
        <v>4950</v>
      </c>
      <c r="T16" s="9">
        <v>0</v>
      </c>
      <c r="U16" s="14">
        <v>0</v>
      </c>
      <c r="V16" s="3"/>
    </row>
    <row r="17" spans="1:22" x14ac:dyDescent="0.3">
      <c r="A17" s="8">
        <v>45731</v>
      </c>
      <c r="B17" s="11">
        <f>61700+33450</f>
        <v>95150</v>
      </c>
      <c r="C17" s="9">
        <f t="shared" si="10"/>
        <v>86500</v>
      </c>
      <c r="D17" s="9">
        <f t="shared" si="11"/>
        <v>8650</v>
      </c>
      <c r="E17" s="9">
        <v>0</v>
      </c>
      <c r="F17" s="9">
        <f t="shared" si="12"/>
        <v>0</v>
      </c>
      <c r="G17" s="9">
        <f t="shared" si="13"/>
        <v>0</v>
      </c>
      <c r="H17" s="11">
        <f>1135+1080</f>
        <v>2215</v>
      </c>
      <c r="I17" s="9">
        <f t="shared" si="14"/>
        <v>2013.6363636363635</v>
      </c>
      <c r="J17" s="9">
        <f t="shared" si="15"/>
        <v>201.36363636363637</v>
      </c>
      <c r="K17" s="9">
        <v>0</v>
      </c>
      <c r="L17" s="9">
        <f t="shared" si="16"/>
        <v>0</v>
      </c>
      <c r="M17" s="9">
        <f t="shared" si="17"/>
        <v>0</v>
      </c>
      <c r="N17" s="11">
        <v>300</v>
      </c>
      <c r="O17" s="9">
        <f t="shared" si="18"/>
        <v>250</v>
      </c>
      <c r="P17" s="9">
        <f t="shared" si="19"/>
        <v>50</v>
      </c>
      <c r="Q17" s="11">
        <f>3000+4700</f>
        <v>7700</v>
      </c>
      <c r="R17" s="11">
        <f>60135+29830</f>
        <v>89965</v>
      </c>
      <c r="S17" s="9">
        <v>0</v>
      </c>
      <c r="T17" s="9">
        <v>0</v>
      </c>
      <c r="U17" s="17">
        <f>11550+16500</f>
        <v>28050</v>
      </c>
      <c r="V17" s="3"/>
    </row>
    <row r="18" spans="1:22" x14ac:dyDescent="0.3">
      <c r="A18" s="8">
        <v>45732</v>
      </c>
      <c r="B18" s="11">
        <f>37000+54450</f>
        <v>91450</v>
      </c>
      <c r="C18" s="9">
        <f t="shared" si="0"/>
        <v>83136.363636363632</v>
      </c>
      <c r="D18" s="9">
        <f t="shared" si="1"/>
        <v>8313.636363636364</v>
      </c>
      <c r="E18" s="9">
        <v>0</v>
      </c>
      <c r="F18" s="9">
        <f t="shared" si="2"/>
        <v>0</v>
      </c>
      <c r="G18" s="9">
        <f t="shared" si="3"/>
        <v>0</v>
      </c>
      <c r="H18" s="11">
        <f>405+1275</f>
        <v>1680</v>
      </c>
      <c r="I18" s="9">
        <f t="shared" si="4"/>
        <v>1527.2727272727273</v>
      </c>
      <c r="J18" s="9">
        <f t="shared" si="5"/>
        <v>152.72727272727272</v>
      </c>
      <c r="K18" s="9">
        <v>0</v>
      </c>
      <c r="L18" s="9">
        <f t="shared" si="6"/>
        <v>0</v>
      </c>
      <c r="M18" s="9">
        <f t="shared" si="7"/>
        <v>0</v>
      </c>
      <c r="N18" s="11">
        <v>600</v>
      </c>
      <c r="O18" s="9">
        <f t="shared" si="8"/>
        <v>500</v>
      </c>
      <c r="P18" s="9">
        <f t="shared" si="9"/>
        <v>100</v>
      </c>
      <c r="Q18" s="11">
        <f>3400</f>
        <v>3400</v>
      </c>
      <c r="R18" s="11">
        <f>34005+56325</f>
        <v>90330</v>
      </c>
      <c r="S18" s="9">
        <v>0</v>
      </c>
      <c r="T18" s="9">
        <v>0</v>
      </c>
      <c r="U18" s="14">
        <v>0</v>
      </c>
      <c r="V18" s="15"/>
    </row>
    <row r="19" spans="1:22" x14ac:dyDescent="0.3">
      <c r="A19" s="8">
        <v>45733</v>
      </c>
      <c r="B19" s="11">
        <f>30900+30000</f>
        <v>60900</v>
      </c>
      <c r="C19" s="9">
        <f t="shared" si="0"/>
        <v>55363.63636363636</v>
      </c>
      <c r="D19" s="9">
        <f t="shared" si="1"/>
        <v>5536.363636363636</v>
      </c>
      <c r="E19" s="9">
        <v>0</v>
      </c>
      <c r="F19" s="9">
        <f t="shared" si="2"/>
        <v>0</v>
      </c>
      <c r="G19" s="9">
        <f t="shared" si="3"/>
        <v>0</v>
      </c>
      <c r="H19" s="11">
        <f>985</f>
        <v>985</v>
      </c>
      <c r="I19" s="9">
        <f t="shared" si="4"/>
        <v>895.45454545454538</v>
      </c>
      <c r="J19" s="9">
        <f t="shared" si="5"/>
        <v>89.545454545454547</v>
      </c>
      <c r="K19" s="9">
        <v>0</v>
      </c>
      <c r="L19" s="9">
        <f t="shared" si="6"/>
        <v>0</v>
      </c>
      <c r="M19" s="9">
        <f t="shared" si="7"/>
        <v>0</v>
      </c>
      <c r="N19" s="11">
        <v>300</v>
      </c>
      <c r="O19" s="9">
        <f t="shared" si="8"/>
        <v>250</v>
      </c>
      <c r="P19" s="9">
        <f t="shared" si="9"/>
        <v>50</v>
      </c>
      <c r="Q19" s="9">
        <v>0</v>
      </c>
      <c r="R19" s="11">
        <f>30900+31285</f>
        <v>62185</v>
      </c>
      <c r="S19" s="9">
        <v>0</v>
      </c>
      <c r="T19" s="9">
        <v>0</v>
      </c>
      <c r="U19" s="17">
        <v>8290</v>
      </c>
      <c r="V19" s="3"/>
    </row>
    <row r="20" spans="1:22" x14ac:dyDescent="0.3">
      <c r="A20" s="8">
        <v>45734</v>
      </c>
      <c r="B20" s="11">
        <f>13500+30600</f>
        <v>44100</v>
      </c>
      <c r="C20" s="9">
        <f t="shared" si="0"/>
        <v>40090.909090909088</v>
      </c>
      <c r="D20" s="9">
        <f t="shared" si="1"/>
        <v>4009.090909090909</v>
      </c>
      <c r="E20" s="9">
        <v>0</v>
      </c>
      <c r="F20" s="9">
        <f t="shared" si="2"/>
        <v>0</v>
      </c>
      <c r="G20" s="9">
        <f t="shared" si="3"/>
        <v>0</v>
      </c>
      <c r="H20" s="11">
        <v>600</v>
      </c>
      <c r="I20" s="9">
        <f t="shared" si="4"/>
        <v>545.45454545454538</v>
      </c>
      <c r="J20" s="9">
        <f t="shared" si="5"/>
        <v>54.54545454545454</v>
      </c>
      <c r="K20" s="9">
        <v>0</v>
      </c>
      <c r="L20" s="9">
        <f t="shared" si="6"/>
        <v>0</v>
      </c>
      <c r="M20" s="9">
        <f t="shared" si="7"/>
        <v>0</v>
      </c>
      <c r="N20" s="9">
        <v>0</v>
      </c>
      <c r="O20" s="9">
        <f t="shared" si="8"/>
        <v>0</v>
      </c>
      <c r="P20" s="9">
        <f t="shared" si="9"/>
        <v>0</v>
      </c>
      <c r="Q20" s="9">
        <v>0</v>
      </c>
      <c r="R20" s="16">
        <f>13500+31200</f>
        <v>44700</v>
      </c>
      <c r="S20" s="20">
        <v>0</v>
      </c>
      <c r="T20" s="11">
        <v>1500</v>
      </c>
      <c r="U20" s="11">
        <f>10000+7500+13500</f>
        <v>31000</v>
      </c>
      <c r="V20" s="3"/>
    </row>
    <row r="21" spans="1:22" x14ac:dyDescent="0.3">
      <c r="A21" s="8">
        <v>45735</v>
      </c>
      <c r="B21" s="11">
        <f>39000+28500</f>
        <v>67500</v>
      </c>
      <c r="C21" s="9">
        <f t="shared" si="0"/>
        <v>61363.63636363636</v>
      </c>
      <c r="D21" s="9">
        <f t="shared" si="1"/>
        <v>6136.363636363636</v>
      </c>
      <c r="E21" s="9">
        <v>0</v>
      </c>
      <c r="F21" s="9">
        <f t="shared" si="2"/>
        <v>0</v>
      </c>
      <c r="G21" s="9">
        <f t="shared" si="3"/>
        <v>0</v>
      </c>
      <c r="H21" s="11">
        <f>705+1465</f>
        <v>2170</v>
      </c>
      <c r="I21" s="9">
        <f t="shared" si="4"/>
        <v>1972.7272727272725</v>
      </c>
      <c r="J21" s="9">
        <f t="shared" si="5"/>
        <v>197.27272727272725</v>
      </c>
      <c r="K21" s="9">
        <v>0</v>
      </c>
      <c r="L21" s="9">
        <f t="shared" si="6"/>
        <v>0</v>
      </c>
      <c r="M21" s="9">
        <f t="shared" si="7"/>
        <v>0</v>
      </c>
      <c r="N21" s="11">
        <v>200</v>
      </c>
      <c r="O21" s="9">
        <f t="shared" si="8"/>
        <v>166.66666666666669</v>
      </c>
      <c r="P21" s="9">
        <f t="shared" si="9"/>
        <v>33.333333333333336</v>
      </c>
      <c r="Q21" s="11">
        <v>3000</v>
      </c>
      <c r="R21" s="11">
        <f>36705+30165</f>
        <v>66870</v>
      </c>
      <c r="S21" s="9">
        <v>0</v>
      </c>
      <c r="T21" s="9">
        <v>0</v>
      </c>
      <c r="U21" s="17">
        <f>6400+37115</f>
        <v>43515</v>
      </c>
      <c r="V21" s="3"/>
    </row>
    <row r="22" spans="1:22" x14ac:dyDescent="0.3">
      <c r="A22" s="8">
        <v>45736</v>
      </c>
      <c r="B22" s="11">
        <f>6000+23250</f>
        <v>29250</v>
      </c>
      <c r="C22" s="9">
        <f t="shared" si="0"/>
        <v>26590.909090909088</v>
      </c>
      <c r="D22" s="9">
        <f t="shared" si="1"/>
        <v>2659.090909090909</v>
      </c>
      <c r="E22" s="9">
        <v>0</v>
      </c>
      <c r="F22" s="9">
        <f t="shared" si="2"/>
        <v>0</v>
      </c>
      <c r="G22" s="9">
        <f t="shared" si="3"/>
        <v>0</v>
      </c>
      <c r="H22" s="11">
        <v>700</v>
      </c>
      <c r="I22" s="9">
        <f t="shared" si="4"/>
        <v>636.36363636363626</v>
      </c>
      <c r="J22" s="9">
        <f t="shared" si="5"/>
        <v>63.636363636363626</v>
      </c>
      <c r="K22" s="9">
        <v>0</v>
      </c>
      <c r="L22" s="9">
        <f t="shared" si="6"/>
        <v>0</v>
      </c>
      <c r="M22" s="9">
        <f t="shared" si="7"/>
        <v>0</v>
      </c>
      <c r="N22" s="11">
        <v>200</v>
      </c>
      <c r="O22" s="9">
        <f t="shared" si="8"/>
        <v>166.66666666666669</v>
      </c>
      <c r="P22" s="9">
        <f t="shared" si="9"/>
        <v>33.333333333333336</v>
      </c>
      <c r="Q22" s="11">
        <v>2750</v>
      </c>
      <c r="R22" s="11">
        <f>6200+21200</f>
        <v>27400</v>
      </c>
      <c r="S22" s="9">
        <v>0</v>
      </c>
      <c r="T22" s="11">
        <v>420</v>
      </c>
      <c r="U22" s="17">
        <v>125325</v>
      </c>
      <c r="V22" s="3"/>
    </row>
    <row r="23" spans="1:22" x14ac:dyDescent="0.3">
      <c r="A23" s="8">
        <v>45737</v>
      </c>
      <c r="B23" s="11">
        <f>24781.91+48450</f>
        <v>73231.91</v>
      </c>
      <c r="C23" s="9">
        <f t="shared" si="0"/>
        <v>66574.463636363638</v>
      </c>
      <c r="D23" s="9">
        <f t="shared" si="1"/>
        <v>6657.4463636363644</v>
      </c>
      <c r="E23" s="9">
        <v>0</v>
      </c>
      <c r="F23" s="9">
        <f t="shared" si="2"/>
        <v>0</v>
      </c>
      <c r="G23" s="9">
        <f t="shared" si="3"/>
        <v>0</v>
      </c>
      <c r="H23" s="11">
        <f>368.09+1035</f>
        <v>1403.09</v>
      </c>
      <c r="I23" s="9">
        <f t="shared" si="4"/>
        <v>1275.5363636363634</v>
      </c>
      <c r="J23" s="9">
        <f t="shared" si="5"/>
        <v>127.55363636363634</v>
      </c>
      <c r="K23" s="9">
        <v>0</v>
      </c>
      <c r="L23" s="9">
        <f t="shared" si="6"/>
        <v>0</v>
      </c>
      <c r="M23" s="9">
        <f t="shared" si="7"/>
        <v>0</v>
      </c>
      <c r="N23" s="11">
        <v>1200</v>
      </c>
      <c r="O23" s="9">
        <f t="shared" si="8"/>
        <v>1000</v>
      </c>
      <c r="P23" s="9">
        <f t="shared" si="9"/>
        <v>200</v>
      </c>
      <c r="Q23" s="11">
        <v>3950</v>
      </c>
      <c r="R23" s="11">
        <f>21200+50685-3200</f>
        <v>68685</v>
      </c>
      <c r="S23" s="11">
        <v>3200</v>
      </c>
      <c r="T23" s="9">
        <v>0</v>
      </c>
      <c r="U23" s="17">
        <v>20385</v>
      </c>
      <c r="V23" s="18"/>
    </row>
    <row r="24" spans="1:22" x14ac:dyDescent="0.3">
      <c r="A24" s="8">
        <v>45738</v>
      </c>
      <c r="B24" s="11">
        <f>58500+3000</f>
        <v>61500</v>
      </c>
      <c r="C24" s="9">
        <f t="shared" si="0"/>
        <v>55909.090909090904</v>
      </c>
      <c r="D24" s="9">
        <f t="shared" si="1"/>
        <v>5590.909090909091</v>
      </c>
      <c r="E24" s="9">
        <v>0</v>
      </c>
      <c r="F24" s="9">
        <f t="shared" si="2"/>
        <v>0</v>
      </c>
      <c r="G24" s="9">
        <f t="shared" si="3"/>
        <v>0</v>
      </c>
      <c r="H24" s="11">
        <v>835</v>
      </c>
      <c r="I24" s="9">
        <f t="shared" si="4"/>
        <v>759.09090909090901</v>
      </c>
      <c r="J24" s="9">
        <f t="shared" si="5"/>
        <v>75.909090909090907</v>
      </c>
      <c r="K24" s="9">
        <v>0</v>
      </c>
      <c r="L24" s="9">
        <f t="shared" si="6"/>
        <v>0</v>
      </c>
      <c r="M24" s="9">
        <f t="shared" si="7"/>
        <v>0</v>
      </c>
      <c r="N24" s="11">
        <v>1700</v>
      </c>
      <c r="O24" s="9">
        <f t="shared" si="8"/>
        <v>1416.6666666666667</v>
      </c>
      <c r="P24" s="9">
        <f t="shared" si="9"/>
        <v>283.33333333333337</v>
      </c>
      <c r="Q24" s="11">
        <v>3000</v>
      </c>
      <c r="R24" s="11">
        <f>58035+3000</f>
        <v>61035</v>
      </c>
      <c r="S24" s="9">
        <v>0</v>
      </c>
      <c r="T24" s="9">
        <v>0</v>
      </c>
      <c r="U24" s="17">
        <f>19085+11725</f>
        <v>30810</v>
      </c>
      <c r="V24" s="18"/>
    </row>
    <row r="25" spans="1:22" x14ac:dyDescent="0.3">
      <c r="A25" s="8">
        <v>45739</v>
      </c>
      <c r="B25" s="11">
        <f>16750+42900</f>
        <v>59650</v>
      </c>
      <c r="C25" s="9">
        <f t="shared" si="0"/>
        <v>54227.272727272721</v>
      </c>
      <c r="D25" s="9">
        <f t="shared" si="1"/>
        <v>5422.7272727272721</v>
      </c>
      <c r="E25" s="9">
        <v>0</v>
      </c>
      <c r="F25" s="9">
        <f t="shared" si="2"/>
        <v>0</v>
      </c>
      <c r="G25" s="9">
        <f t="shared" si="3"/>
        <v>0</v>
      </c>
      <c r="H25" s="11">
        <f>270+85</f>
        <v>355</v>
      </c>
      <c r="I25" s="9">
        <f t="shared" si="4"/>
        <v>322.72727272727269</v>
      </c>
      <c r="J25" s="9">
        <f t="shared" si="5"/>
        <v>32.272727272727273</v>
      </c>
      <c r="K25" s="9">
        <v>0</v>
      </c>
      <c r="L25" s="9">
        <f t="shared" si="6"/>
        <v>0</v>
      </c>
      <c r="M25" s="9">
        <f t="shared" si="7"/>
        <v>0</v>
      </c>
      <c r="N25" s="9">
        <v>0</v>
      </c>
      <c r="O25" s="9">
        <f t="shared" si="8"/>
        <v>0</v>
      </c>
      <c r="P25" s="9">
        <f t="shared" si="9"/>
        <v>0</v>
      </c>
      <c r="Q25" s="11">
        <v>3000</v>
      </c>
      <c r="R25" s="11">
        <f>13835+43170</f>
        <v>57005</v>
      </c>
      <c r="S25" s="9">
        <v>0</v>
      </c>
      <c r="T25" s="9">
        <v>0</v>
      </c>
      <c r="U25" s="17">
        <f>8250+11400</f>
        <v>19650</v>
      </c>
      <c r="V25" s="3"/>
    </row>
    <row r="26" spans="1:22" x14ac:dyDescent="0.3">
      <c r="A26" s="8">
        <v>45740</v>
      </c>
      <c r="B26" s="11">
        <f>7500+8000</f>
        <v>15500</v>
      </c>
      <c r="C26" s="9">
        <f t="shared" si="0"/>
        <v>14090.90909090909</v>
      </c>
      <c r="D26" s="9">
        <f t="shared" si="1"/>
        <v>1409.090909090909</v>
      </c>
      <c r="E26" s="9">
        <v>0</v>
      </c>
      <c r="F26" s="9">
        <f t="shared" si="2"/>
        <v>0</v>
      </c>
      <c r="G26" s="9">
        <f t="shared" si="3"/>
        <v>0</v>
      </c>
      <c r="H26" s="11">
        <v>270</v>
      </c>
      <c r="I26" s="9">
        <f t="shared" si="4"/>
        <v>245.45454545454544</v>
      </c>
      <c r="J26" s="9">
        <f t="shared" si="5"/>
        <v>24.545454545454547</v>
      </c>
      <c r="K26" s="9">
        <v>0</v>
      </c>
      <c r="L26" s="9">
        <f t="shared" si="6"/>
        <v>0</v>
      </c>
      <c r="M26" s="9">
        <f t="shared" si="7"/>
        <v>0</v>
      </c>
      <c r="N26" s="9">
        <v>0</v>
      </c>
      <c r="O26" s="9">
        <f t="shared" si="8"/>
        <v>0</v>
      </c>
      <c r="P26" s="9">
        <f t="shared" si="9"/>
        <v>0</v>
      </c>
      <c r="Q26" s="11">
        <v>2000</v>
      </c>
      <c r="R26" s="11">
        <f>7500+6270</f>
        <v>13770</v>
      </c>
      <c r="S26" s="9">
        <v>0</v>
      </c>
      <c r="T26" s="9">
        <v>0</v>
      </c>
      <c r="U26" s="17">
        <v>11250</v>
      </c>
      <c r="V26" s="3"/>
    </row>
    <row r="27" spans="1:22" x14ac:dyDescent="0.3">
      <c r="A27" s="8">
        <v>45741</v>
      </c>
      <c r="B27" s="11">
        <f>12900+22500</f>
        <v>35400</v>
      </c>
      <c r="C27" s="9">
        <f t="shared" si="0"/>
        <v>32181.81818181818</v>
      </c>
      <c r="D27" s="9">
        <f t="shared" si="1"/>
        <v>3218.181818181818</v>
      </c>
      <c r="E27" s="9">
        <v>0</v>
      </c>
      <c r="F27" s="9">
        <f t="shared" si="2"/>
        <v>0</v>
      </c>
      <c r="G27" s="9">
        <f t="shared" si="3"/>
        <v>0</v>
      </c>
      <c r="H27" s="11">
        <f>135</f>
        <v>135</v>
      </c>
      <c r="I27" s="9">
        <f t="shared" si="4"/>
        <v>122.72727272727272</v>
      </c>
      <c r="J27" s="9">
        <f t="shared" si="5"/>
        <v>12.272727272727273</v>
      </c>
      <c r="K27" s="9">
        <v>0</v>
      </c>
      <c r="L27" s="9">
        <f t="shared" si="6"/>
        <v>0</v>
      </c>
      <c r="M27" s="9">
        <f t="shared" si="7"/>
        <v>0</v>
      </c>
      <c r="N27" s="9">
        <v>0</v>
      </c>
      <c r="O27" s="9">
        <f t="shared" si="8"/>
        <v>0</v>
      </c>
      <c r="P27" s="9">
        <f t="shared" si="9"/>
        <v>0</v>
      </c>
      <c r="Q27" s="11">
        <f>3135+3200</f>
        <v>6335</v>
      </c>
      <c r="R27" s="11">
        <f>9900+19300</f>
        <v>29200</v>
      </c>
      <c r="S27" s="9">
        <v>0</v>
      </c>
      <c r="T27" s="9">
        <v>0</v>
      </c>
      <c r="U27" s="17">
        <v>23185</v>
      </c>
      <c r="V27" s="3"/>
    </row>
    <row r="28" spans="1:22" x14ac:dyDescent="0.3">
      <c r="A28" s="8">
        <v>45742</v>
      </c>
      <c r="B28" s="11">
        <f>24389.47+16950</f>
        <v>41339.47</v>
      </c>
      <c r="C28" s="9">
        <f t="shared" si="0"/>
        <v>37581.336363636365</v>
      </c>
      <c r="D28" s="9">
        <f t="shared" si="1"/>
        <v>3758.1336363636365</v>
      </c>
      <c r="E28" s="9">
        <v>0</v>
      </c>
      <c r="F28" s="9">
        <f t="shared" si="2"/>
        <v>0</v>
      </c>
      <c r="G28" s="9">
        <f t="shared" si="3"/>
        <v>0</v>
      </c>
      <c r="H28" s="11">
        <f>845+340</f>
        <v>1185</v>
      </c>
      <c r="I28" s="9">
        <f t="shared" si="4"/>
        <v>1077.2727272727273</v>
      </c>
      <c r="J28" s="9">
        <f t="shared" si="5"/>
        <v>107.72727272727273</v>
      </c>
      <c r="K28" s="9">
        <v>0</v>
      </c>
      <c r="L28" s="9">
        <f t="shared" si="6"/>
        <v>0</v>
      </c>
      <c r="M28" s="9">
        <f t="shared" si="7"/>
        <v>0</v>
      </c>
      <c r="N28" s="11">
        <v>990.53</v>
      </c>
      <c r="O28" s="9">
        <f t="shared" si="8"/>
        <v>825.44166666666672</v>
      </c>
      <c r="P28" s="9">
        <f t="shared" si="9"/>
        <v>165.08833333333337</v>
      </c>
      <c r="Q28" s="9">
        <v>0</v>
      </c>
      <c r="R28" s="11">
        <f>26225+17290</f>
        <v>43515</v>
      </c>
      <c r="S28" s="9">
        <v>0</v>
      </c>
      <c r="T28" s="11">
        <v>1600</v>
      </c>
      <c r="U28" s="17">
        <f>69800+7500</f>
        <v>77300</v>
      </c>
      <c r="V28" s="3"/>
    </row>
    <row r="29" spans="1:22" x14ac:dyDescent="0.3">
      <c r="A29" s="8">
        <v>45743</v>
      </c>
      <c r="B29" s="11">
        <f>22500+33000</f>
        <v>55500</v>
      </c>
      <c r="C29" s="9">
        <f t="shared" si="0"/>
        <v>50454.545454545449</v>
      </c>
      <c r="D29" s="9">
        <f t="shared" si="1"/>
        <v>5045.454545454545</v>
      </c>
      <c r="E29" s="9">
        <v>0</v>
      </c>
      <c r="F29" s="9">
        <f t="shared" si="2"/>
        <v>0</v>
      </c>
      <c r="G29" s="9">
        <f t="shared" si="3"/>
        <v>0</v>
      </c>
      <c r="H29" s="11">
        <f>200+900</f>
        <v>1100</v>
      </c>
      <c r="I29" s="9">
        <f t="shared" si="4"/>
        <v>999.99999999999989</v>
      </c>
      <c r="J29" s="9">
        <f t="shared" si="5"/>
        <v>100</v>
      </c>
      <c r="K29" s="9">
        <v>0</v>
      </c>
      <c r="L29" s="9">
        <f t="shared" si="6"/>
        <v>0</v>
      </c>
      <c r="M29" s="9">
        <f t="shared" si="7"/>
        <v>0</v>
      </c>
      <c r="N29" s="11">
        <f>200+1650</f>
        <v>1850</v>
      </c>
      <c r="O29" s="9">
        <f t="shared" si="8"/>
        <v>1541.6666666666667</v>
      </c>
      <c r="P29" s="9">
        <f t="shared" si="9"/>
        <v>308.33333333333337</v>
      </c>
      <c r="Q29" s="11">
        <f>3000</f>
        <v>3000</v>
      </c>
      <c r="R29" s="11">
        <f>19900+35550</f>
        <v>55450</v>
      </c>
      <c r="S29" s="9">
        <v>0</v>
      </c>
      <c r="T29" s="11">
        <v>3205</v>
      </c>
      <c r="U29" s="17">
        <v>42140</v>
      </c>
      <c r="V29" s="3"/>
    </row>
    <row r="30" spans="1:22" x14ac:dyDescent="0.3">
      <c r="A30" s="8">
        <v>45744</v>
      </c>
      <c r="B30" s="11">
        <f>12000+34500</f>
        <v>46500</v>
      </c>
      <c r="C30" s="9">
        <f t="shared" si="0"/>
        <v>42272.727272727272</v>
      </c>
      <c r="D30" s="9">
        <f t="shared" si="1"/>
        <v>4227.272727272727</v>
      </c>
      <c r="E30" s="9">
        <v>0</v>
      </c>
      <c r="F30" s="9">
        <f t="shared" si="2"/>
        <v>0</v>
      </c>
      <c r="G30" s="9">
        <f t="shared" si="3"/>
        <v>0</v>
      </c>
      <c r="H30" s="11">
        <v>200</v>
      </c>
      <c r="I30" s="9">
        <f t="shared" si="4"/>
        <v>181.81818181818181</v>
      </c>
      <c r="J30" s="9">
        <f t="shared" si="5"/>
        <v>18.181818181818183</v>
      </c>
      <c r="K30" s="9">
        <v>0</v>
      </c>
      <c r="L30" s="9">
        <f t="shared" si="6"/>
        <v>0</v>
      </c>
      <c r="M30" s="9">
        <f t="shared" si="7"/>
        <v>0</v>
      </c>
      <c r="N30" s="11">
        <v>300</v>
      </c>
      <c r="O30" s="9">
        <f t="shared" si="8"/>
        <v>250</v>
      </c>
      <c r="P30" s="9">
        <f t="shared" si="9"/>
        <v>50</v>
      </c>
      <c r="Q30" s="9">
        <v>0</v>
      </c>
      <c r="R30" s="11">
        <f>12200+34800-6300</f>
        <v>40700</v>
      </c>
      <c r="S30" s="11">
        <v>6300</v>
      </c>
      <c r="T30" s="9">
        <v>0</v>
      </c>
      <c r="U30" s="17">
        <v>39000</v>
      </c>
      <c r="V30" s="3"/>
    </row>
    <row r="31" spans="1:22" x14ac:dyDescent="0.3">
      <c r="A31" s="8">
        <v>45745</v>
      </c>
      <c r="B31" s="11">
        <f>3000+39750</f>
        <v>42750</v>
      </c>
      <c r="C31" s="9">
        <f t="shared" si="0"/>
        <v>38863.63636363636</v>
      </c>
      <c r="D31" s="9">
        <f t="shared" si="1"/>
        <v>3886.363636363636</v>
      </c>
      <c r="E31" s="9">
        <v>0</v>
      </c>
      <c r="F31" s="9">
        <f t="shared" si="2"/>
        <v>0</v>
      </c>
      <c r="G31" s="9">
        <f t="shared" si="3"/>
        <v>0</v>
      </c>
      <c r="H31" s="11">
        <f>200+335</f>
        <v>535</v>
      </c>
      <c r="I31" s="9">
        <f t="shared" si="4"/>
        <v>486.36363636363632</v>
      </c>
      <c r="J31" s="9">
        <f t="shared" si="5"/>
        <v>48.636363636363633</v>
      </c>
      <c r="K31" s="9">
        <v>0</v>
      </c>
      <c r="L31" s="9">
        <f>K31/1.2</f>
        <v>0</v>
      </c>
      <c r="M31" s="9">
        <f t="shared" si="7"/>
        <v>0</v>
      </c>
      <c r="N31" s="11">
        <v>500</v>
      </c>
      <c r="O31" s="9">
        <f t="shared" si="8"/>
        <v>416.66666666666669</v>
      </c>
      <c r="P31" s="9">
        <f t="shared" si="9"/>
        <v>83.333333333333343</v>
      </c>
      <c r="Q31" s="11">
        <v>4700</v>
      </c>
      <c r="R31" s="11">
        <f>3200+35885</f>
        <v>39085</v>
      </c>
      <c r="S31" s="9">
        <v>0</v>
      </c>
      <c r="T31" s="9">
        <v>0</v>
      </c>
      <c r="U31" s="17">
        <v>12000</v>
      </c>
      <c r="V31" s="3"/>
    </row>
    <row r="32" spans="1:22" x14ac:dyDescent="0.3">
      <c r="B32" s="6">
        <f>SUM(B3:B31)</f>
        <v>1382721.3800000001</v>
      </c>
      <c r="C32" s="10">
        <f>B32/1.1</f>
        <v>1257019.4363636363</v>
      </c>
      <c r="D32" s="10">
        <f t="shared" ref="D32" si="20">C32*10/100</f>
        <v>125701.94363636363</v>
      </c>
      <c r="E32" s="6">
        <f>SUM(E3:E31)</f>
        <v>3050</v>
      </c>
      <c r="F32" s="10">
        <f t="shared" si="2"/>
        <v>2541.666666666667</v>
      </c>
      <c r="G32" s="10">
        <f t="shared" ref="G32" si="21">F32*20/100</f>
        <v>508.33333333333343</v>
      </c>
      <c r="H32" s="6">
        <f>SUM(H3:H31)</f>
        <v>26438.09</v>
      </c>
      <c r="I32" s="10">
        <f t="shared" si="4"/>
        <v>24034.62727272727</v>
      </c>
      <c r="J32" s="10">
        <f t="shared" ref="J32" si="22">I32*10/100</f>
        <v>2403.4627272727271</v>
      </c>
      <c r="K32" s="6">
        <f>SUM(K3:K31)</f>
        <v>900</v>
      </c>
      <c r="L32" s="10">
        <f t="shared" si="6"/>
        <v>750</v>
      </c>
      <c r="M32" s="10">
        <f t="shared" ref="M32" si="23">L32*20/100</f>
        <v>150</v>
      </c>
      <c r="N32" s="6">
        <f>SUM(N3:N31)</f>
        <v>17410.53</v>
      </c>
      <c r="O32" s="10">
        <f t="shared" si="8"/>
        <v>14508.775</v>
      </c>
      <c r="P32" s="10">
        <f t="shared" ref="P32" si="24">O32*20/100</f>
        <v>2901.7550000000001</v>
      </c>
      <c r="Q32" s="6">
        <f>SUM(Q3:Q31)</f>
        <v>87185</v>
      </c>
      <c r="R32" s="6">
        <f>SUM(R3:R31)</f>
        <v>1322385</v>
      </c>
      <c r="S32" s="6"/>
      <c r="T32" s="6">
        <f>SUM(T3:T31)</f>
        <v>6725</v>
      </c>
      <c r="U32" s="6">
        <f>SUM(U4:U31)</f>
        <v>698495</v>
      </c>
      <c r="V32" s="3"/>
    </row>
    <row r="33" spans="2:21" x14ac:dyDescent="0.3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</row>
    <row r="34" spans="2:21" x14ac:dyDescent="0.3">
      <c r="H34" s="5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31"/>
  <sheetViews>
    <sheetView zoomScale="70" zoomScaleNormal="70" workbookViewId="0">
      <selection activeCell="H37" sqref="G37:H37"/>
    </sheetView>
  </sheetViews>
  <sheetFormatPr defaultRowHeight="14.4" x14ac:dyDescent="0.3"/>
  <cols>
    <col min="1" max="1" width="15.77734375" style="4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2.21875" customWidth="1"/>
    <col min="18" max="18" width="16.88671875" customWidth="1"/>
    <col min="19" max="19" width="11.6640625" customWidth="1"/>
    <col min="20" max="20" width="13.88671875" customWidth="1"/>
    <col min="21" max="21" width="16.88671875" customWidth="1"/>
    <col min="22" max="22" width="32.109375" style="4" hidden="1" customWidth="1"/>
    <col min="23" max="23" width="11.88671875" customWidth="1"/>
    <col min="24" max="24" width="11.77734375" customWidth="1"/>
    <col min="25" max="25" width="12.109375" customWidth="1"/>
  </cols>
  <sheetData>
    <row r="1" spans="1:25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39" t="s">
        <v>8</v>
      </c>
      <c r="U1" s="40"/>
      <c r="V1" s="12" t="s">
        <v>10</v>
      </c>
    </row>
    <row r="2" spans="1:25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5" x14ac:dyDescent="0.3">
      <c r="A3" s="8">
        <v>45749</v>
      </c>
      <c r="B3" s="11">
        <f>900+23370</f>
        <v>24270</v>
      </c>
      <c r="C3" s="9">
        <f t="shared" ref="C3:C27" si="0">B3/1.1</f>
        <v>22063.63636363636</v>
      </c>
      <c r="D3" s="9">
        <f t="shared" ref="D3:D27" si="1">C3*0.1</f>
        <v>2206.363636363636</v>
      </c>
      <c r="E3" s="11">
        <f>1850+8065.88+5958+11140</f>
        <v>27013.88</v>
      </c>
      <c r="F3" s="9">
        <f t="shared" ref="F3:F28" si="2">E3/1.2</f>
        <v>22511.566666666669</v>
      </c>
      <c r="G3" s="9">
        <f t="shared" ref="G3:G27" si="3">F3*0.2</f>
        <v>4502.3133333333344</v>
      </c>
      <c r="H3" s="11">
        <f>313.67+2930</f>
        <v>3243.67</v>
      </c>
      <c r="I3" s="9">
        <f t="shared" ref="I3:I28" si="4">H3/1.1</f>
        <v>2948.7909090909088</v>
      </c>
      <c r="J3" s="9">
        <f t="shared" ref="J3:J27" si="5">I3*0.1</f>
        <v>294.87909090909091</v>
      </c>
      <c r="K3" s="11">
        <f>600+620.45+662+2100</f>
        <v>3982.45</v>
      </c>
      <c r="L3" s="9">
        <f t="shared" ref="L3:L28" si="6">K3/1.2</f>
        <v>3318.7083333333335</v>
      </c>
      <c r="M3" s="9">
        <f t="shared" ref="M3:M27" si="7">L3*0.2</f>
        <v>663.74166666666679</v>
      </c>
      <c r="N3" s="11">
        <v>600</v>
      </c>
      <c r="O3" s="9">
        <f t="shared" ref="O3:O28" si="8">N3/1.2</f>
        <v>500</v>
      </c>
      <c r="P3" s="9">
        <f t="shared" ref="P3:P27" si="9">O3*0.2</f>
        <v>100</v>
      </c>
      <c r="Q3" s="37">
        <f>2075</f>
        <v>2075</v>
      </c>
      <c r="R3" s="11">
        <f>3350+9000+6620+38065</f>
        <v>57035</v>
      </c>
      <c r="S3" s="9">
        <v>0</v>
      </c>
      <c r="T3" s="9">
        <v>0</v>
      </c>
      <c r="U3" s="36">
        <v>29485</v>
      </c>
      <c r="V3" s="3"/>
    </row>
    <row r="4" spans="1:25" x14ac:dyDescent="0.3">
      <c r="A4" s="8">
        <v>45750</v>
      </c>
      <c r="B4" s="11">
        <f>41140</f>
        <v>41140</v>
      </c>
      <c r="C4" s="9">
        <f t="shared" si="0"/>
        <v>37400</v>
      </c>
      <c r="D4" s="9">
        <f t="shared" si="1"/>
        <v>3740</v>
      </c>
      <c r="E4" s="11">
        <v>8930</v>
      </c>
      <c r="F4" s="9">
        <f t="shared" si="2"/>
        <v>7441.666666666667</v>
      </c>
      <c r="G4" s="9">
        <f t="shared" si="3"/>
        <v>1488.3333333333335</v>
      </c>
      <c r="H4" s="11">
        <v>2205</v>
      </c>
      <c r="I4" s="9">
        <f t="shared" si="4"/>
        <v>2004.5454545454543</v>
      </c>
      <c r="J4" s="9">
        <f t="shared" si="5"/>
        <v>200.45454545454544</v>
      </c>
      <c r="K4" s="11">
        <v>3900</v>
      </c>
      <c r="L4" s="9">
        <f t="shared" si="6"/>
        <v>3250</v>
      </c>
      <c r="M4" s="9">
        <f t="shared" si="7"/>
        <v>650</v>
      </c>
      <c r="N4" s="9">
        <v>0</v>
      </c>
      <c r="O4" s="9">
        <f t="shared" si="8"/>
        <v>0</v>
      </c>
      <c r="P4" s="9">
        <f t="shared" si="9"/>
        <v>0</v>
      </c>
      <c r="Q4" s="11">
        <v>2920</v>
      </c>
      <c r="R4" s="11">
        <v>53255</v>
      </c>
      <c r="S4" s="9">
        <v>0</v>
      </c>
      <c r="T4" s="9">
        <v>0</v>
      </c>
      <c r="U4" s="17">
        <v>20520</v>
      </c>
      <c r="V4" s="3"/>
    </row>
    <row r="5" spans="1:25" x14ac:dyDescent="0.3">
      <c r="A5" s="8">
        <v>45751</v>
      </c>
      <c r="B5" s="11">
        <f>37905</f>
        <v>37905</v>
      </c>
      <c r="C5" s="9">
        <f t="shared" si="0"/>
        <v>34459.090909090904</v>
      </c>
      <c r="D5" s="9">
        <f t="shared" si="1"/>
        <v>3445.9090909090905</v>
      </c>
      <c r="E5" s="11">
        <f>2650+3180+10850</f>
        <v>16680</v>
      </c>
      <c r="F5" s="9">
        <f t="shared" si="2"/>
        <v>13900</v>
      </c>
      <c r="G5" s="9">
        <f t="shared" si="3"/>
        <v>2780</v>
      </c>
      <c r="H5" s="11">
        <f>150+250</f>
        <v>400</v>
      </c>
      <c r="I5" s="9">
        <f t="shared" si="4"/>
        <v>363.63636363636363</v>
      </c>
      <c r="J5" s="9">
        <f t="shared" si="5"/>
        <v>36.363636363636367</v>
      </c>
      <c r="K5" s="11">
        <f>400+400+3600</f>
        <v>4400</v>
      </c>
      <c r="L5" s="9">
        <f t="shared" si="6"/>
        <v>3666.666666666667</v>
      </c>
      <c r="M5" s="9">
        <f t="shared" si="7"/>
        <v>733.33333333333348</v>
      </c>
      <c r="N5" s="9">
        <v>0</v>
      </c>
      <c r="O5" s="9">
        <f t="shared" si="8"/>
        <v>0</v>
      </c>
      <c r="P5" s="9">
        <f t="shared" si="9"/>
        <v>0</v>
      </c>
      <c r="Q5" s="9">
        <v>0</v>
      </c>
      <c r="R5" s="11">
        <f>3200+3580+52605</f>
        <v>59385</v>
      </c>
      <c r="S5" s="9">
        <v>0</v>
      </c>
      <c r="T5" s="9">
        <v>0</v>
      </c>
      <c r="U5" s="17">
        <v>6070</v>
      </c>
      <c r="V5" s="3"/>
    </row>
    <row r="6" spans="1:25" x14ac:dyDescent="0.3">
      <c r="A6" s="8">
        <v>45752</v>
      </c>
      <c r="B6" s="11">
        <f>3980+35790+5000</f>
        <v>44770</v>
      </c>
      <c r="C6" s="9">
        <f t="shared" si="0"/>
        <v>40700</v>
      </c>
      <c r="D6" s="9">
        <f t="shared" si="1"/>
        <v>4070</v>
      </c>
      <c r="E6" s="11">
        <f>13450+3595+13520+1800</f>
        <v>32365</v>
      </c>
      <c r="F6" s="9">
        <f t="shared" si="2"/>
        <v>26970.833333333336</v>
      </c>
      <c r="G6" s="9">
        <f t="shared" si="3"/>
        <v>5394.1666666666679</v>
      </c>
      <c r="H6" s="11">
        <f>1275+925+135</f>
        <v>2335</v>
      </c>
      <c r="I6" s="9">
        <f t="shared" si="4"/>
        <v>2122.7272727272725</v>
      </c>
      <c r="J6" s="9">
        <f t="shared" si="5"/>
        <v>212.27272727272725</v>
      </c>
      <c r="K6" s="11">
        <f>2400+1300+3150+600</f>
        <v>7450</v>
      </c>
      <c r="L6" s="9">
        <f t="shared" si="6"/>
        <v>6208.3333333333339</v>
      </c>
      <c r="M6" s="9">
        <f t="shared" si="7"/>
        <v>1241.666666666667</v>
      </c>
      <c r="N6" s="11">
        <v>500</v>
      </c>
      <c r="O6" s="9">
        <f t="shared" si="8"/>
        <v>416.66666666666669</v>
      </c>
      <c r="P6" s="9">
        <f t="shared" si="9"/>
        <v>83.333333333333343</v>
      </c>
      <c r="Q6" s="11">
        <f>1200+2900</f>
        <v>4100</v>
      </c>
      <c r="R6" s="11">
        <f>15925+6900+53095+7400</f>
        <v>83320</v>
      </c>
      <c r="S6" s="9">
        <v>0</v>
      </c>
      <c r="T6" s="11">
        <v>550</v>
      </c>
      <c r="U6" s="17">
        <f>27775+99940+4295+26765</f>
        <v>158775</v>
      </c>
      <c r="V6" s="3"/>
    </row>
    <row r="7" spans="1:25" x14ac:dyDescent="0.3">
      <c r="A7" s="8">
        <v>45753</v>
      </c>
      <c r="B7" s="11">
        <f>26555</f>
        <v>26555</v>
      </c>
      <c r="C7" s="9">
        <f t="shared" si="0"/>
        <v>24140.909090909088</v>
      </c>
      <c r="D7" s="9">
        <f t="shared" si="1"/>
        <v>2414.090909090909</v>
      </c>
      <c r="E7" s="11">
        <f>16740+2400</f>
        <v>19140</v>
      </c>
      <c r="F7" s="9">
        <f t="shared" si="2"/>
        <v>15950</v>
      </c>
      <c r="G7" s="9">
        <f t="shared" si="3"/>
        <v>3190</v>
      </c>
      <c r="H7" s="11">
        <f>1620</f>
        <v>1620</v>
      </c>
      <c r="I7" s="9">
        <f t="shared" si="4"/>
        <v>1472.7272727272725</v>
      </c>
      <c r="J7" s="9">
        <f t="shared" si="5"/>
        <v>147.27272727272725</v>
      </c>
      <c r="K7" s="11">
        <f>2100+800</f>
        <v>2900</v>
      </c>
      <c r="L7" s="9">
        <f t="shared" si="6"/>
        <v>2416.666666666667</v>
      </c>
      <c r="M7" s="9">
        <f t="shared" si="7"/>
        <v>483.33333333333343</v>
      </c>
      <c r="N7" s="11">
        <f>585+800</f>
        <v>1385</v>
      </c>
      <c r="O7" s="9">
        <f t="shared" si="8"/>
        <v>1154.1666666666667</v>
      </c>
      <c r="P7" s="9">
        <f t="shared" si="9"/>
        <v>230.83333333333337</v>
      </c>
      <c r="Q7" s="37">
        <v>8565</v>
      </c>
      <c r="R7" s="37">
        <f>32570+4000</f>
        <v>36570</v>
      </c>
      <c r="S7" s="37">
        <v>6465</v>
      </c>
      <c r="T7" s="9">
        <v>0</v>
      </c>
      <c r="U7" s="36">
        <v>12245</v>
      </c>
      <c r="V7" s="3"/>
      <c r="W7">
        <f>47600+4000+12245</f>
        <v>63845</v>
      </c>
      <c r="Y7" s="5"/>
    </row>
    <row r="8" spans="1:25" x14ac:dyDescent="0.3">
      <c r="A8" s="8">
        <v>45755</v>
      </c>
      <c r="B8" s="11">
        <v>14580</v>
      </c>
      <c r="C8" s="9">
        <f t="shared" si="0"/>
        <v>13254.545454545454</v>
      </c>
      <c r="D8" s="9">
        <f t="shared" si="1"/>
        <v>1325.4545454545455</v>
      </c>
      <c r="E8" s="11">
        <v>5265</v>
      </c>
      <c r="F8" s="9">
        <f t="shared" si="2"/>
        <v>4387.5</v>
      </c>
      <c r="G8" s="9">
        <f t="shared" si="3"/>
        <v>877.5</v>
      </c>
      <c r="H8" s="11">
        <f>1620</f>
        <v>1620</v>
      </c>
      <c r="I8" s="9">
        <f t="shared" si="4"/>
        <v>1472.7272727272725</v>
      </c>
      <c r="J8" s="9">
        <f t="shared" si="5"/>
        <v>147.27272727272725</v>
      </c>
      <c r="K8" s="11">
        <v>1200</v>
      </c>
      <c r="L8" s="9">
        <f t="shared" si="6"/>
        <v>1000</v>
      </c>
      <c r="M8" s="9">
        <f t="shared" si="7"/>
        <v>200</v>
      </c>
      <c r="N8" s="9">
        <v>0</v>
      </c>
      <c r="O8" s="9">
        <f t="shared" si="8"/>
        <v>0</v>
      </c>
      <c r="P8" s="9">
        <f t="shared" si="9"/>
        <v>0</v>
      </c>
      <c r="Q8" s="11">
        <v>4760</v>
      </c>
      <c r="R8" s="11">
        <v>16285</v>
      </c>
      <c r="S8" s="9">
        <v>0</v>
      </c>
      <c r="T8" s="9">
        <v>0</v>
      </c>
      <c r="U8" s="17">
        <v>10150</v>
      </c>
      <c r="V8" s="3"/>
    </row>
    <row r="9" spans="1:25" x14ac:dyDescent="0.3">
      <c r="A9" s="8">
        <v>45756</v>
      </c>
      <c r="B9" s="11">
        <f>9325+16755</f>
        <v>26080</v>
      </c>
      <c r="C9" s="9">
        <f t="shared" si="0"/>
        <v>23709.090909090908</v>
      </c>
      <c r="D9" s="9">
        <f t="shared" si="1"/>
        <v>2370.909090909091</v>
      </c>
      <c r="E9" s="11">
        <f>2650+10900+5450+2975</f>
        <v>21975</v>
      </c>
      <c r="F9" s="9">
        <f t="shared" si="2"/>
        <v>18312.5</v>
      </c>
      <c r="G9" s="9">
        <f t="shared" si="3"/>
        <v>3662.5</v>
      </c>
      <c r="H9" s="11">
        <f>1680+850+85+85</f>
        <v>2700</v>
      </c>
      <c r="I9" s="9">
        <f t="shared" si="4"/>
        <v>2454.5454545454545</v>
      </c>
      <c r="J9" s="9">
        <f t="shared" si="5"/>
        <v>245.45454545454547</v>
      </c>
      <c r="K9" s="11">
        <f>1500+2100+600+600</f>
        <v>4800</v>
      </c>
      <c r="L9" s="9">
        <f t="shared" si="6"/>
        <v>4000</v>
      </c>
      <c r="M9" s="9">
        <f t="shared" si="7"/>
        <v>800</v>
      </c>
      <c r="N9" s="11">
        <v>2100</v>
      </c>
      <c r="O9" s="9">
        <f t="shared" si="8"/>
        <v>1750</v>
      </c>
      <c r="P9" s="9">
        <f t="shared" si="9"/>
        <v>350</v>
      </c>
      <c r="Q9" s="11">
        <f>670</f>
        <v>670</v>
      </c>
      <c r="R9" s="11">
        <f>14485+32705+6135+3660</f>
        <v>56985</v>
      </c>
      <c r="S9" s="9">
        <v>0</v>
      </c>
      <c r="T9" s="9">
        <v>0</v>
      </c>
      <c r="U9" s="17">
        <f>8370+33600</f>
        <v>41970</v>
      </c>
      <c r="V9" s="3"/>
      <c r="X9" s="5"/>
    </row>
    <row r="10" spans="1:25" x14ac:dyDescent="0.3">
      <c r="A10" s="8">
        <v>45757</v>
      </c>
      <c r="B10" s="11">
        <f>2390</f>
        <v>2390</v>
      </c>
      <c r="C10" s="9">
        <f t="shared" si="0"/>
        <v>2172.7272727272725</v>
      </c>
      <c r="D10" s="9">
        <f t="shared" si="1"/>
        <v>217.27272727272725</v>
      </c>
      <c r="E10" s="11">
        <f>2250+1800+3525</f>
        <v>7575</v>
      </c>
      <c r="F10" s="9">
        <f t="shared" si="2"/>
        <v>6312.5</v>
      </c>
      <c r="G10" s="9">
        <f t="shared" si="3"/>
        <v>1262.5</v>
      </c>
      <c r="H10" s="11">
        <f>935+850</f>
        <v>1785</v>
      </c>
      <c r="I10" s="9">
        <f t="shared" si="4"/>
        <v>1622.7272727272725</v>
      </c>
      <c r="J10" s="9">
        <f t="shared" si="5"/>
        <v>162.27272727272725</v>
      </c>
      <c r="K10" s="11">
        <f>600+450</f>
        <v>1050</v>
      </c>
      <c r="L10" s="9">
        <f t="shared" si="6"/>
        <v>875</v>
      </c>
      <c r="M10" s="9">
        <f t="shared" si="7"/>
        <v>175</v>
      </c>
      <c r="N10" s="9">
        <v>0</v>
      </c>
      <c r="O10" s="9">
        <f t="shared" si="8"/>
        <v>0</v>
      </c>
      <c r="P10" s="9">
        <f t="shared" si="9"/>
        <v>0</v>
      </c>
      <c r="Q10" s="11">
        <v>600</v>
      </c>
      <c r="R10" s="11">
        <f>3785+5490+2925</f>
        <v>12200</v>
      </c>
      <c r="S10" s="9">
        <v>0</v>
      </c>
      <c r="T10" s="11">
        <v>1400</v>
      </c>
      <c r="U10" s="17">
        <f>17100+14445</f>
        <v>31545</v>
      </c>
      <c r="V10" s="3"/>
    </row>
    <row r="11" spans="1:25" x14ac:dyDescent="0.3">
      <c r="A11" s="8">
        <v>45758</v>
      </c>
      <c r="B11" s="11">
        <f>9430+23870</f>
        <v>33300</v>
      </c>
      <c r="C11" s="9">
        <f t="shared" si="0"/>
        <v>30272.727272727272</v>
      </c>
      <c r="D11" s="9">
        <f t="shared" si="1"/>
        <v>3027.2727272727275</v>
      </c>
      <c r="E11" s="11">
        <f>1150+14575</f>
        <v>15725</v>
      </c>
      <c r="F11" s="9">
        <f t="shared" si="2"/>
        <v>13104.166666666668</v>
      </c>
      <c r="G11" s="9">
        <f t="shared" si="3"/>
        <v>2620.8333333333339</v>
      </c>
      <c r="H11" s="11">
        <f>4080+2245</f>
        <v>6325</v>
      </c>
      <c r="I11" s="9">
        <f t="shared" si="4"/>
        <v>5749.9999999999991</v>
      </c>
      <c r="J11" s="9">
        <f t="shared" si="5"/>
        <v>574.99999999999989</v>
      </c>
      <c r="K11" s="11">
        <f>600+3650</f>
        <v>4250</v>
      </c>
      <c r="L11" s="9">
        <f t="shared" si="6"/>
        <v>3541.666666666667</v>
      </c>
      <c r="M11" s="9">
        <f t="shared" si="7"/>
        <v>708.33333333333348</v>
      </c>
      <c r="N11" s="11">
        <v>410</v>
      </c>
      <c r="O11" s="9">
        <f t="shared" si="8"/>
        <v>341.66666666666669</v>
      </c>
      <c r="P11" s="9">
        <f t="shared" si="9"/>
        <v>68.333333333333343</v>
      </c>
      <c r="Q11" s="9">
        <f>0</f>
        <v>0</v>
      </c>
      <c r="R11" s="11">
        <f>15260+44750</f>
        <v>60010</v>
      </c>
      <c r="S11" s="9">
        <v>0</v>
      </c>
      <c r="T11" s="11">
        <v>5000</v>
      </c>
      <c r="U11" s="17">
        <f>18000+45000</f>
        <v>63000</v>
      </c>
      <c r="V11" s="3"/>
    </row>
    <row r="12" spans="1:25" x14ac:dyDescent="0.3">
      <c r="A12" s="8">
        <v>45759</v>
      </c>
      <c r="B12" s="11">
        <f>4060+13010+53755+1200</f>
        <v>72025</v>
      </c>
      <c r="C12" s="9">
        <f t="shared" si="0"/>
        <v>65477.272727272721</v>
      </c>
      <c r="D12" s="9">
        <f t="shared" si="1"/>
        <v>6547.7272727272721</v>
      </c>
      <c r="E12" s="11">
        <f>3250+6000+7180+18255+17000</f>
        <v>51685</v>
      </c>
      <c r="F12" s="9">
        <f t="shared" si="2"/>
        <v>43070.833333333336</v>
      </c>
      <c r="G12" s="9">
        <f t="shared" si="3"/>
        <v>8614.1666666666679</v>
      </c>
      <c r="H12" s="11">
        <f>200+1025+1275+85</f>
        <v>2585</v>
      </c>
      <c r="I12" s="9">
        <f t="shared" si="4"/>
        <v>2350</v>
      </c>
      <c r="J12" s="9">
        <f t="shared" si="5"/>
        <v>235</v>
      </c>
      <c r="K12" s="11">
        <f>300+2000+1950+4050+2000</f>
        <v>10300</v>
      </c>
      <c r="L12" s="9">
        <f t="shared" si="6"/>
        <v>8583.3333333333339</v>
      </c>
      <c r="M12" s="9">
        <f t="shared" si="7"/>
        <v>1716.666666666667</v>
      </c>
      <c r="N12" s="11">
        <f>655+1300</f>
        <v>1955</v>
      </c>
      <c r="O12" s="9">
        <f t="shared" si="8"/>
        <v>1629.1666666666667</v>
      </c>
      <c r="P12" s="9">
        <f t="shared" si="9"/>
        <v>325.83333333333337</v>
      </c>
      <c r="Q12" s="11">
        <f>800+2450</f>
        <v>3250</v>
      </c>
      <c r="R12" s="11">
        <f>7810+7200+23165+77990+19135</f>
        <v>135300</v>
      </c>
      <c r="S12" s="9">
        <v>0</v>
      </c>
      <c r="T12" s="11">
        <f>1600</f>
        <v>1600</v>
      </c>
      <c r="U12" s="17">
        <f>42130+47520+24370+3000</f>
        <v>117020</v>
      </c>
      <c r="V12" s="3"/>
    </row>
    <row r="13" spans="1:25" x14ac:dyDescent="0.3">
      <c r="A13" s="8">
        <v>45760</v>
      </c>
      <c r="B13" s="11">
        <v>49275</v>
      </c>
      <c r="C13" s="9">
        <f t="shared" si="0"/>
        <v>44795.454545454544</v>
      </c>
      <c r="D13" s="9">
        <f t="shared" si="1"/>
        <v>4479.545454545455</v>
      </c>
      <c r="E13" s="11">
        <f>3575+3700</f>
        <v>7275</v>
      </c>
      <c r="F13" s="9">
        <f t="shared" si="2"/>
        <v>6062.5</v>
      </c>
      <c r="G13" s="9">
        <f t="shared" si="3"/>
        <v>1212.5</v>
      </c>
      <c r="H13" s="11">
        <v>3755</v>
      </c>
      <c r="I13" s="9">
        <f t="shared" si="4"/>
        <v>3413.6363636363635</v>
      </c>
      <c r="J13" s="9">
        <f t="shared" si="5"/>
        <v>341.36363636363637</v>
      </c>
      <c r="K13" s="11">
        <f>1800+1200</f>
        <v>3000</v>
      </c>
      <c r="L13" s="9">
        <f t="shared" si="6"/>
        <v>2500</v>
      </c>
      <c r="M13" s="9">
        <f t="shared" si="7"/>
        <v>500</v>
      </c>
      <c r="N13" s="9">
        <v>0</v>
      </c>
      <c r="O13" s="9">
        <f t="shared" si="8"/>
        <v>0</v>
      </c>
      <c r="P13" s="9">
        <f t="shared" si="9"/>
        <v>0</v>
      </c>
      <c r="Q13" s="11">
        <v>5475</v>
      </c>
      <c r="R13" s="11">
        <f>52930+4900-1790</f>
        <v>56040</v>
      </c>
      <c r="S13" s="11">
        <v>1790</v>
      </c>
      <c r="T13" s="9">
        <v>0</v>
      </c>
      <c r="U13" s="17">
        <v>10500</v>
      </c>
      <c r="V13" s="3"/>
    </row>
    <row r="14" spans="1:25" x14ac:dyDescent="0.3">
      <c r="A14" s="8">
        <v>45762</v>
      </c>
      <c r="B14" s="11">
        <f>42410+6050</f>
        <v>48460</v>
      </c>
      <c r="C14" s="9">
        <f t="shared" si="0"/>
        <v>44054.545454545449</v>
      </c>
      <c r="D14" s="9">
        <f t="shared" si="1"/>
        <v>4405.454545454545</v>
      </c>
      <c r="E14" s="11">
        <f>13760+3150</f>
        <v>16910</v>
      </c>
      <c r="F14" s="9">
        <f t="shared" si="2"/>
        <v>14091.666666666668</v>
      </c>
      <c r="G14" s="9">
        <f t="shared" si="3"/>
        <v>2818.3333333333339</v>
      </c>
      <c r="H14" s="11">
        <f>1480+200</f>
        <v>1680</v>
      </c>
      <c r="I14" s="9">
        <f t="shared" si="4"/>
        <v>1527.2727272727273</v>
      </c>
      <c r="J14" s="9">
        <f t="shared" si="5"/>
        <v>152.72727272727272</v>
      </c>
      <c r="K14" s="11">
        <f>3900+400</f>
        <v>4300</v>
      </c>
      <c r="L14" s="9">
        <f t="shared" si="6"/>
        <v>3583.3333333333335</v>
      </c>
      <c r="M14" s="9">
        <f t="shared" si="7"/>
        <v>716.66666666666674</v>
      </c>
      <c r="N14" s="11">
        <v>1210</v>
      </c>
      <c r="O14" s="9">
        <f t="shared" si="8"/>
        <v>1008.3333333333334</v>
      </c>
      <c r="P14" s="9">
        <f t="shared" si="9"/>
        <v>201.66666666666669</v>
      </c>
      <c r="Q14" s="11">
        <v>4900</v>
      </c>
      <c r="R14" s="11">
        <f>62760+4900-8200</f>
        <v>59460</v>
      </c>
      <c r="S14" s="11">
        <v>8200</v>
      </c>
      <c r="T14" s="9">
        <v>0</v>
      </c>
      <c r="U14" s="17">
        <v>53375.41</v>
      </c>
      <c r="V14" s="3"/>
    </row>
    <row r="15" spans="1:25" x14ac:dyDescent="0.3">
      <c r="A15" s="8">
        <v>45763</v>
      </c>
      <c r="B15" s="11">
        <f>42023.9+3810+2278.48</f>
        <v>48112.380000000005</v>
      </c>
      <c r="C15" s="9">
        <f t="shared" si="0"/>
        <v>43738.527272727275</v>
      </c>
      <c r="D15" s="9">
        <f t="shared" si="1"/>
        <v>4373.8527272727279</v>
      </c>
      <c r="E15" s="11">
        <f>6461.21+1600+6868.36</f>
        <v>14929.57</v>
      </c>
      <c r="F15" s="9">
        <f t="shared" si="2"/>
        <v>12441.308333333334</v>
      </c>
      <c r="G15" s="9">
        <f t="shared" si="3"/>
        <v>2488.2616666666672</v>
      </c>
      <c r="H15" s="11">
        <f>2070.08+200</f>
        <v>2270.08</v>
      </c>
      <c r="I15" s="9">
        <f t="shared" si="4"/>
        <v>2063.7090909090907</v>
      </c>
      <c r="J15" s="9">
        <f t="shared" si="5"/>
        <v>206.37090909090909</v>
      </c>
      <c r="K15" s="11">
        <f>3199.81+300+253.16</f>
        <v>3752.97</v>
      </c>
      <c r="L15" s="9">
        <f t="shared" si="6"/>
        <v>3127.4749999999999</v>
      </c>
      <c r="M15" s="9">
        <f t="shared" si="7"/>
        <v>625.495</v>
      </c>
      <c r="N15" s="9">
        <v>0</v>
      </c>
      <c r="O15" s="9">
        <f t="shared" si="8"/>
        <v>0</v>
      </c>
      <c r="P15" s="9">
        <f t="shared" si="9"/>
        <v>0</v>
      </c>
      <c r="Q15" s="11">
        <f>2400</f>
        <v>2400</v>
      </c>
      <c r="R15" s="11">
        <f>51355+5910+9400</f>
        <v>66665</v>
      </c>
      <c r="S15" s="9">
        <v>0</v>
      </c>
      <c r="T15" s="9">
        <v>0</v>
      </c>
      <c r="U15" s="17">
        <f>50805+2500+18680</f>
        <v>71985</v>
      </c>
      <c r="V15" s="15"/>
    </row>
    <row r="16" spans="1:25" x14ac:dyDescent="0.3">
      <c r="A16" s="8">
        <v>45764</v>
      </c>
      <c r="B16" s="11">
        <f>24880+3300</f>
        <v>28180</v>
      </c>
      <c r="C16" s="9">
        <f t="shared" si="0"/>
        <v>25618.181818181816</v>
      </c>
      <c r="D16" s="9">
        <f t="shared" si="1"/>
        <v>2561.818181818182</v>
      </c>
      <c r="E16" s="11">
        <f>8865+1190</f>
        <v>10055</v>
      </c>
      <c r="F16" s="9">
        <f t="shared" si="2"/>
        <v>8379.1666666666679</v>
      </c>
      <c r="G16" s="9">
        <f t="shared" si="3"/>
        <v>1675.8333333333337</v>
      </c>
      <c r="H16" s="11">
        <f>785+625</f>
        <v>1410</v>
      </c>
      <c r="I16" s="9">
        <f t="shared" si="4"/>
        <v>1281.8181818181818</v>
      </c>
      <c r="J16" s="9">
        <f t="shared" si="5"/>
        <v>128.18181818181819</v>
      </c>
      <c r="K16" s="11">
        <f>2550+300</f>
        <v>2850</v>
      </c>
      <c r="L16" s="9">
        <f t="shared" si="6"/>
        <v>2375</v>
      </c>
      <c r="M16" s="9">
        <f t="shared" si="7"/>
        <v>475</v>
      </c>
      <c r="N16" s="11">
        <v>205</v>
      </c>
      <c r="O16" s="9">
        <f t="shared" si="8"/>
        <v>170.83333333333334</v>
      </c>
      <c r="P16" s="9">
        <f t="shared" si="9"/>
        <v>34.166666666666671</v>
      </c>
      <c r="Q16" s="11">
        <f>7905</f>
        <v>7905</v>
      </c>
      <c r="R16" s="11">
        <f>29175+1620</f>
        <v>30795</v>
      </c>
      <c r="S16" s="11">
        <v>4000</v>
      </c>
      <c r="T16" s="11">
        <v>5000</v>
      </c>
      <c r="U16" s="17">
        <f>1200+10800+14695</f>
        <v>26695</v>
      </c>
      <c r="V16" s="3"/>
    </row>
    <row r="17" spans="1:23" x14ac:dyDescent="0.3">
      <c r="A17" s="8">
        <v>45765</v>
      </c>
      <c r="B17" s="11">
        <f>36255</f>
        <v>36255</v>
      </c>
      <c r="C17" s="9">
        <f t="shared" si="0"/>
        <v>32959.090909090904</v>
      </c>
      <c r="D17" s="9">
        <f t="shared" si="1"/>
        <v>3295.9090909090905</v>
      </c>
      <c r="E17" s="11">
        <v>7460</v>
      </c>
      <c r="F17" s="9">
        <f t="shared" si="2"/>
        <v>6216.666666666667</v>
      </c>
      <c r="G17" s="9">
        <f t="shared" si="3"/>
        <v>1243.3333333333335</v>
      </c>
      <c r="H17" s="11">
        <v>2545</v>
      </c>
      <c r="I17" s="9">
        <f t="shared" si="4"/>
        <v>2313.6363636363635</v>
      </c>
      <c r="J17" s="9">
        <f t="shared" si="5"/>
        <v>231.36363636363637</v>
      </c>
      <c r="K17" s="11">
        <v>4800</v>
      </c>
      <c r="L17" s="9">
        <f t="shared" si="6"/>
        <v>4000</v>
      </c>
      <c r="M17" s="9">
        <f t="shared" si="7"/>
        <v>800</v>
      </c>
      <c r="N17" s="9">
        <v>0</v>
      </c>
      <c r="O17" s="9">
        <f t="shared" si="8"/>
        <v>0</v>
      </c>
      <c r="P17" s="9">
        <f t="shared" si="9"/>
        <v>0</v>
      </c>
      <c r="Q17" s="9">
        <v>0</v>
      </c>
      <c r="R17" s="25">
        <f>51060-5675</f>
        <v>45385</v>
      </c>
      <c r="S17" s="26">
        <v>5675</v>
      </c>
      <c r="T17" s="9">
        <v>0</v>
      </c>
      <c r="U17" s="11">
        <v>10085</v>
      </c>
      <c r="V17" s="3"/>
      <c r="W17">
        <f>47600-8565</f>
        <v>39035</v>
      </c>
    </row>
    <row r="18" spans="1:23" x14ac:dyDescent="0.3">
      <c r="A18" s="8">
        <v>45766</v>
      </c>
      <c r="B18" s="11">
        <f>8520+48552.71</f>
        <v>57072.71</v>
      </c>
      <c r="C18" s="9">
        <f t="shared" si="0"/>
        <v>51884.281818181815</v>
      </c>
      <c r="D18" s="9">
        <f t="shared" si="1"/>
        <v>5188.4281818181817</v>
      </c>
      <c r="E18" s="11">
        <f>10850+6770+7200+8967.63+24185.3</f>
        <v>57972.929999999993</v>
      </c>
      <c r="F18" s="9">
        <f t="shared" si="2"/>
        <v>48310.774999999994</v>
      </c>
      <c r="G18" s="9">
        <f t="shared" si="3"/>
        <v>9662.1549999999988</v>
      </c>
      <c r="H18" s="11">
        <f>310+640+287.37+1050</f>
        <v>2287.37</v>
      </c>
      <c r="I18" s="9">
        <f t="shared" si="4"/>
        <v>2079.4272727272723</v>
      </c>
      <c r="J18" s="9">
        <f t="shared" si="5"/>
        <v>207.94272727272724</v>
      </c>
      <c r="K18" s="11">
        <f>2000+1750+800+1800+4591.99</f>
        <v>10941.99</v>
      </c>
      <c r="L18" s="9">
        <f t="shared" si="6"/>
        <v>9118.3250000000007</v>
      </c>
      <c r="M18" s="9">
        <f t="shared" si="7"/>
        <v>1823.6650000000002</v>
      </c>
      <c r="N18" s="11">
        <f>800+750</f>
        <v>1550</v>
      </c>
      <c r="O18" s="9">
        <f t="shared" si="8"/>
        <v>1291.6666666666667</v>
      </c>
      <c r="P18" s="9">
        <f t="shared" si="9"/>
        <v>258.33333333333337</v>
      </c>
      <c r="Q18" s="11">
        <f>3450+800</f>
        <v>4250</v>
      </c>
      <c r="R18" s="11">
        <f>9710+16880+8800+11055+79130</f>
        <v>125575</v>
      </c>
      <c r="S18" s="9">
        <v>0</v>
      </c>
      <c r="T18" s="9">
        <v>0</v>
      </c>
      <c r="U18" s="17">
        <f>5000+24910</f>
        <v>29910</v>
      </c>
      <c r="V18" s="3"/>
      <c r="W18">
        <f>+W17-6465</f>
        <v>32570</v>
      </c>
    </row>
    <row r="19" spans="1:23" x14ac:dyDescent="0.3">
      <c r="A19" s="8">
        <v>45767</v>
      </c>
      <c r="B19" s="11">
        <v>28685</v>
      </c>
      <c r="C19" s="9">
        <f t="shared" si="0"/>
        <v>26077.272727272724</v>
      </c>
      <c r="D19" s="9">
        <f t="shared" si="1"/>
        <v>2607.7272727272725</v>
      </c>
      <c r="E19" s="11">
        <f>6000+2300</f>
        <v>8300</v>
      </c>
      <c r="F19" s="9">
        <f t="shared" si="2"/>
        <v>6916.666666666667</v>
      </c>
      <c r="G19" s="9">
        <f t="shared" si="3"/>
        <v>1383.3333333333335</v>
      </c>
      <c r="H19" s="11">
        <f>720+1560</f>
        <v>2280</v>
      </c>
      <c r="I19" s="9">
        <f t="shared" si="4"/>
        <v>2072.7272727272725</v>
      </c>
      <c r="J19" s="9">
        <f t="shared" si="5"/>
        <v>207.27272727272725</v>
      </c>
      <c r="K19" s="11">
        <f>800+1500</f>
        <v>2300</v>
      </c>
      <c r="L19" s="9">
        <f t="shared" si="6"/>
        <v>1916.6666666666667</v>
      </c>
      <c r="M19" s="9">
        <f t="shared" si="7"/>
        <v>383.33333333333337</v>
      </c>
      <c r="N19" s="9">
        <v>0</v>
      </c>
      <c r="O19" s="9">
        <f t="shared" si="8"/>
        <v>0</v>
      </c>
      <c r="P19" s="9">
        <f t="shared" si="9"/>
        <v>0</v>
      </c>
      <c r="Q19" s="11">
        <v>895</v>
      </c>
      <c r="R19" s="11">
        <f>7520+33150</f>
        <v>40670</v>
      </c>
      <c r="S19" s="9">
        <v>0</v>
      </c>
      <c r="T19" s="9">
        <v>0</v>
      </c>
      <c r="U19" s="17">
        <v>45355</v>
      </c>
      <c r="V19" s="3"/>
    </row>
    <row r="20" spans="1:23" x14ac:dyDescent="0.3">
      <c r="A20" s="8">
        <v>45769</v>
      </c>
      <c r="B20" s="11">
        <f>10485+20710</f>
        <v>31195</v>
      </c>
      <c r="C20" s="9">
        <f t="shared" si="0"/>
        <v>28359.090909090908</v>
      </c>
      <c r="D20" s="9">
        <f t="shared" si="1"/>
        <v>2835.909090909091</v>
      </c>
      <c r="E20" s="11">
        <f>5890+6320</f>
        <v>12210</v>
      </c>
      <c r="F20" s="9">
        <f t="shared" si="2"/>
        <v>10175</v>
      </c>
      <c r="G20" s="9">
        <f t="shared" si="3"/>
        <v>2035</v>
      </c>
      <c r="H20" s="11">
        <f>400</f>
        <v>400</v>
      </c>
      <c r="I20" s="9">
        <f t="shared" si="4"/>
        <v>363.63636363636363</v>
      </c>
      <c r="J20" s="9">
        <f t="shared" si="5"/>
        <v>36.363636363636367</v>
      </c>
      <c r="K20" s="11">
        <f>1200+1800</f>
        <v>3000</v>
      </c>
      <c r="L20" s="9">
        <f t="shared" si="6"/>
        <v>2500</v>
      </c>
      <c r="M20" s="9">
        <f t="shared" si="7"/>
        <v>500</v>
      </c>
      <c r="N20" s="9">
        <v>0</v>
      </c>
      <c r="O20" s="9">
        <f t="shared" si="8"/>
        <v>0</v>
      </c>
      <c r="P20" s="9">
        <f t="shared" si="9"/>
        <v>0</v>
      </c>
      <c r="Q20" s="11">
        <f>4345</f>
        <v>4345</v>
      </c>
      <c r="R20" s="11">
        <f>17575+24885</f>
        <v>42460</v>
      </c>
      <c r="S20" s="9">
        <v>0</v>
      </c>
      <c r="T20" s="9">
        <v>0</v>
      </c>
      <c r="U20" s="17">
        <f>3350+39340+9920</f>
        <v>52610</v>
      </c>
      <c r="V20" s="18"/>
    </row>
    <row r="21" spans="1:23" x14ac:dyDescent="0.3">
      <c r="A21" s="8">
        <v>45770</v>
      </c>
      <c r="B21" s="11">
        <f>4025+32120</f>
        <v>36145</v>
      </c>
      <c r="C21" s="9">
        <f t="shared" si="0"/>
        <v>32859.090909090904</v>
      </c>
      <c r="D21" s="9">
        <f t="shared" si="1"/>
        <v>3285.9090909090905</v>
      </c>
      <c r="E21" s="11">
        <f>1250+4025</f>
        <v>5275</v>
      </c>
      <c r="F21" s="9">
        <f t="shared" si="2"/>
        <v>4395.8333333333339</v>
      </c>
      <c r="G21" s="9">
        <f t="shared" si="3"/>
        <v>879.16666666666686</v>
      </c>
      <c r="H21" s="11">
        <f>1370</f>
        <v>1370</v>
      </c>
      <c r="I21" s="9">
        <f t="shared" si="4"/>
        <v>1245.4545454545453</v>
      </c>
      <c r="J21" s="9">
        <f t="shared" si="5"/>
        <v>124.54545454545453</v>
      </c>
      <c r="K21" s="11">
        <f>300+2100</f>
        <v>2400</v>
      </c>
      <c r="L21" s="9">
        <f t="shared" si="6"/>
        <v>2000</v>
      </c>
      <c r="M21" s="9">
        <f t="shared" si="7"/>
        <v>400</v>
      </c>
      <c r="N21" s="9">
        <v>0</v>
      </c>
      <c r="O21" s="9">
        <f t="shared" si="8"/>
        <v>0</v>
      </c>
      <c r="P21" s="9">
        <f t="shared" si="9"/>
        <v>0</v>
      </c>
      <c r="Q21" s="9">
        <f>0</f>
        <v>0</v>
      </c>
      <c r="R21" s="11">
        <f>5575+39615</f>
        <v>45190</v>
      </c>
      <c r="S21" s="9">
        <v>0</v>
      </c>
      <c r="T21" s="9">
        <v>0</v>
      </c>
      <c r="U21" s="17">
        <f>14995+10910</f>
        <v>25905</v>
      </c>
      <c r="V21" s="3"/>
    </row>
    <row r="22" spans="1:23" x14ac:dyDescent="0.3">
      <c r="A22" s="8">
        <v>45771</v>
      </c>
      <c r="B22" s="11">
        <f>3630+32910</f>
        <v>36540</v>
      </c>
      <c r="C22" s="9">
        <f t="shared" si="0"/>
        <v>33218.181818181816</v>
      </c>
      <c r="D22" s="9">
        <f t="shared" si="1"/>
        <v>3321.818181818182</v>
      </c>
      <c r="E22" s="11">
        <f>2175+5500+5975+8295</f>
        <v>21945</v>
      </c>
      <c r="F22" s="9">
        <f t="shared" si="2"/>
        <v>18287.5</v>
      </c>
      <c r="G22" s="9">
        <f t="shared" si="3"/>
        <v>3657.5</v>
      </c>
      <c r="H22" s="11">
        <f>2370</f>
        <v>2370</v>
      </c>
      <c r="I22" s="9">
        <f t="shared" si="4"/>
        <v>2154.5454545454545</v>
      </c>
      <c r="J22" s="9">
        <f t="shared" si="5"/>
        <v>215.45454545454547</v>
      </c>
      <c r="K22" s="11">
        <f>300+400+1400+3000</f>
        <v>5100</v>
      </c>
      <c r="L22" s="9">
        <f t="shared" si="6"/>
        <v>4250</v>
      </c>
      <c r="M22" s="9">
        <f t="shared" si="7"/>
        <v>850</v>
      </c>
      <c r="N22" s="9">
        <v>0</v>
      </c>
      <c r="O22" s="9">
        <f t="shared" si="8"/>
        <v>0</v>
      </c>
      <c r="P22" s="9">
        <f t="shared" si="9"/>
        <v>0</v>
      </c>
      <c r="Q22" s="9">
        <f>0</f>
        <v>0</v>
      </c>
      <c r="R22" s="11">
        <f>6105+5900+7375+46575</f>
        <v>65955</v>
      </c>
      <c r="S22" s="9">
        <v>0</v>
      </c>
      <c r="T22" s="9">
        <v>0</v>
      </c>
      <c r="U22" s="14">
        <v>0</v>
      </c>
      <c r="V22" s="3"/>
    </row>
    <row r="23" spans="1:23" x14ac:dyDescent="0.3">
      <c r="A23" s="8">
        <v>45772</v>
      </c>
      <c r="B23" s="11">
        <f>29356.56+6480+9855</f>
        <v>45691.56</v>
      </c>
      <c r="C23" s="9">
        <f t="shared" si="0"/>
        <v>41537.781818181815</v>
      </c>
      <c r="D23" s="9">
        <f t="shared" si="1"/>
        <v>4153.778181818182</v>
      </c>
      <c r="E23" s="11">
        <f>2650+9838.5+3657.41+3250+9975</f>
        <v>29370.91</v>
      </c>
      <c r="F23" s="9">
        <f t="shared" si="2"/>
        <v>24475.758333333335</v>
      </c>
      <c r="G23" s="9">
        <f t="shared" si="3"/>
        <v>4895.1516666666676</v>
      </c>
      <c r="H23" s="11">
        <f>1200+98.76+85</f>
        <v>1383.76</v>
      </c>
      <c r="I23" s="9">
        <f t="shared" si="4"/>
        <v>1257.9636363636362</v>
      </c>
      <c r="J23" s="9">
        <f t="shared" si="5"/>
        <v>125.79636363636362</v>
      </c>
      <c r="K23" s="11">
        <f>3307.44+893.83+750+2550</f>
        <v>7501.27</v>
      </c>
      <c r="L23" s="9">
        <f t="shared" si="6"/>
        <v>6251.0583333333343</v>
      </c>
      <c r="M23" s="9">
        <f t="shared" si="7"/>
        <v>1250.211666666667</v>
      </c>
      <c r="N23" s="11">
        <v>900</v>
      </c>
      <c r="O23" s="9">
        <f t="shared" si="8"/>
        <v>750</v>
      </c>
      <c r="P23" s="9">
        <f t="shared" si="9"/>
        <v>150</v>
      </c>
      <c r="Q23" s="11">
        <f>950</f>
        <v>950</v>
      </c>
      <c r="R23" s="11">
        <f>2650+44602.5+4650+10480+21515-14635</f>
        <v>69262.5</v>
      </c>
      <c r="S23" s="11">
        <v>14635</v>
      </c>
      <c r="T23" s="11">
        <v>10600</v>
      </c>
      <c r="U23" s="17">
        <f>11000+8000+5+10330+6690+8200</f>
        <v>44225</v>
      </c>
      <c r="V23" s="3"/>
    </row>
    <row r="24" spans="1:23" x14ac:dyDescent="0.3">
      <c r="A24" s="8">
        <v>45773</v>
      </c>
      <c r="B24" s="11">
        <f>18790+1050+5200+37600</f>
        <v>62640</v>
      </c>
      <c r="C24" s="9">
        <f t="shared" si="0"/>
        <v>56945.454545454544</v>
      </c>
      <c r="D24" s="9">
        <f t="shared" si="1"/>
        <v>5694.545454545455</v>
      </c>
      <c r="E24" s="11">
        <f>16620+17725+19075+1650+14460</f>
        <v>69530</v>
      </c>
      <c r="F24" s="9">
        <f t="shared" si="2"/>
        <v>57941.666666666672</v>
      </c>
      <c r="G24" s="9">
        <f t="shared" si="3"/>
        <v>11588.333333333336</v>
      </c>
      <c r="H24" s="11">
        <f>615+490+310+430+1420</f>
        <v>3265</v>
      </c>
      <c r="I24" s="9">
        <f t="shared" si="4"/>
        <v>2968.181818181818</v>
      </c>
      <c r="J24" s="9">
        <f t="shared" si="5"/>
        <v>296.81818181818181</v>
      </c>
      <c r="K24" s="11">
        <f>2900+4400+2550+650+5300</f>
        <v>15800</v>
      </c>
      <c r="L24" s="9">
        <f t="shared" si="6"/>
        <v>13166.666666666668</v>
      </c>
      <c r="M24" s="9">
        <f t="shared" si="7"/>
        <v>2633.3333333333339</v>
      </c>
      <c r="N24" s="11">
        <f>485+1930</f>
        <v>2415</v>
      </c>
      <c r="O24" s="9">
        <f t="shared" si="8"/>
        <v>2012.5</v>
      </c>
      <c r="P24" s="9">
        <f t="shared" si="9"/>
        <v>402.5</v>
      </c>
      <c r="Q24" s="11">
        <f>8225</f>
        <v>8225</v>
      </c>
      <c r="R24" s="11">
        <f>39410+23665+13710+7930+60710</f>
        <v>145425</v>
      </c>
      <c r="S24" s="9">
        <v>0</v>
      </c>
      <c r="T24" s="9"/>
      <c r="U24" s="17">
        <f>25125+10400+28930+26880</f>
        <v>91335</v>
      </c>
      <c r="V24" s="3"/>
    </row>
    <row r="25" spans="1:23" x14ac:dyDescent="0.3">
      <c r="A25" s="8">
        <v>45774</v>
      </c>
      <c r="B25" s="11">
        <f>24420+22310</f>
        <v>46730</v>
      </c>
      <c r="C25" s="9">
        <f t="shared" si="0"/>
        <v>42481.818181818177</v>
      </c>
      <c r="D25" s="9">
        <f t="shared" si="1"/>
        <v>4248.181818181818</v>
      </c>
      <c r="E25" s="11">
        <f>7100+2390</f>
        <v>9490</v>
      </c>
      <c r="F25" s="9">
        <f t="shared" si="2"/>
        <v>7908.3333333333339</v>
      </c>
      <c r="G25" s="9">
        <f t="shared" si="3"/>
        <v>1581.666666666667</v>
      </c>
      <c r="H25" s="11">
        <f>2735+1170</f>
        <v>3905</v>
      </c>
      <c r="I25" s="9">
        <f t="shared" si="4"/>
        <v>3549.9999999999995</v>
      </c>
      <c r="J25" s="9">
        <f t="shared" si="5"/>
        <v>355</v>
      </c>
      <c r="K25" s="11">
        <f>3900+900</f>
        <v>4800</v>
      </c>
      <c r="L25" s="9">
        <f t="shared" si="6"/>
        <v>4000</v>
      </c>
      <c r="M25" s="9">
        <f t="shared" si="7"/>
        <v>800</v>
      </c>
      <c r="N25" s="11">
        <f>955+1475</f>
        <v>2430</v>
      </c>
      <c r="O25" s="9">
        <f t="shared" si="8"/>
        <v>2025</v>
      </c>
      <c r="P25" s="9">
        <f t="shared" si="9"/>
        <v>405</v>
      </c>
      <c r="Q25" s="11">
        <v>3580</v>
      </c>
      <c r="R25" s="11">
        <f>39110+24665</f>
        <v>63775</v>
      </c>
      <c r="S25" s="9">
        <v>0</v>
      </c>
      <c r="T25" s="9">
        <v>0</v>
      </c>
      <c r="U25" s="14">
        <v>0</v>
      </c>
      <c r="V25" s="3"/>
    </row>
    <row r="26" spans="1:23" x14ac:dyDescent="0.3">
      <c r="A26" s="8">
        <v>45776</v>
      </c>
      <c r="B26" s="11">
        <f>250+25995</f>
        <v>26245</v>
      </c>
      <c r="C26" s="9">
        <f t="shared" ref="C26" si="10">B26/1.1</f>
        <v>23859.090909090908</v>
      </c>
      <c r="D26" s="9">
        <f t="shared" ref="D26" si="11">C26*0.1</f>
        <v>2385.909090909091</v>
      </c>
      <c r="E26" s="11">
        <f>3000+5740</f>
        <v>8740</v>
      </c>
      <c r="F26" s="9">
        <f t="shared" ref="F26" si="12">E26/1.2</f>
        <v>7283.3333333333339</v>
      </c>
      <c r="G26" s="9">
        <f t="shared" ref="G26" si="13">F26*0.2</f>
        <v>1456.666666666667</v>
      </c>
      <c r="H26" s="11">
        <f>2550+3960</f>
        <v>6510</v>
      </c>
      <c r="I26" s="9">
        <f t="shared" ref="I26" si="14">H26/1.1</f>
        <v>5918.181818181818</v>
      </c>
      <c r="J26" s="9">
        <f t="shared" ref="J26" si="15">I26*0.1</f>
        <v>591.81818181818187</v>
      </c>
      <c r="K26" s="11">
        <f>2200+3800</f>
        <v>6000</v>
      </c>
      <c r="L26" s="9">
        <f t="shared" ref="L26" si="16">K26/1.2</f>
        <v>5000</v>
      </c>
      <c r="M26" s="9">
        <f t="shared" ref="M26" si="17">L26*0.2</f>
        <v>1000</v>
      </c>
      <c r="N26" s="9">
        <v>0</v>
      </c>
      <c r="O26" s="9">
        <f t="shared" ref="O26" si="18">N26/1.2</f>
        <v>0</v>
      </c>
      <c r="P26" s="9">
        <f t="shared" ref="P26" si="19">O26*0.2</f>
        <v>0</v>
      </c>
      <c r="Q26" s="11">
        <v>833</v>
      </c>
      <c r="R26" s="11">
        <f>7167+80230-44975</f>
        <v>42422</v>
      </c>
      <c r="S26" s="11">
        <v>4240</v>
      </c>
      <c r="T26" s="9">
        <v>0</v>
      </c>
      <c r="U26" s="17">
        <v>44975</v>
      </c>
      <c r="V26" s="3"/>
    </row>
    <row r="27" spans="1:23" x14ac:dyDescent="0.3">
      <c r="A27" s="8">
        <v>45777</v>
      </c>
      <c r="B27" s="11">
        <f>13340+32925</f>
        <v>46265</v>
      </c>
      <c r="C27" s="9">
        <f t="shared" si="0"/>
        <v>42059.090909090904</v>
      </c>
      <c r="D27" s="9">
        <f t="shared" si="1"/>
        <v>4205.909090909091</v>
      </c>
      <c r="E27" s="11">
        <f>13425+8980</f>
        <v>22405</v>
      </c>
      <c r="F27" s="9">
        <f t="shared" si="2"/>
        <v>18670.833333333336</v>
      </c>
      <c r="G27" s="9">
        <f t="shared" si="3"/>
        <v>3734.1666666666674</v>
      </c>
      <c r="H27" s="11">
        <f>1980+1670</f>
        <v>3650</v>
      </c>
      <c r="I27" s="9">
        <f t="shared" si="4"/>
        <v>3318.181818181818</v>
      </c>
      <c r="J27" s="9">
        <f t="shared" si="5"/>
        <v>331.81818181818181</v>
      </c>
      <c r="K27" s="11">
        <f>1600+3800</f>
        <v>5400</v>
      </c>
      <c r="L27" s="9">
        <f>K27/1.2</f>
        <v>4500</v>
      </c>
      <c r="M27" s="9">
        <f t="shared" si="7"/>
        <v>900</v>
      </c>
      <c r="N27" s="11">
        <v>1200</v>
      </c>
      <c r="O27" s="9">
        <f t="shared" si="8"/>
        <v>1000</v>
      </c>
      <c r="P27" s="9">
        <f t="shared" si="9"/>
        <v>200</v>
      </c>
      <c r="Q27" s="9">
        <f>0</f>
        <v>0</v>
      </c>
      <c r="R27" s="11">
        <f>25995+156925-115230</f>
        <v>67690</v>
      </c>
      <c r="S27" s="11">
        <f>4350+6880</f>
        <v>11230</v>
      </c>
      <c r="T27" s="9">
        <v>0</v>
      </c>
      <c r="U27" s="17">
        <v>115230</v>
      </c>
      <c r="V27" s="3"/>
    </row>
    <row r="28" spans="1:23" x14ac:dyDescent="0.3">
      <c r="B28" s="6">
        <f>SUM(B3:B27)</f>
        <v>950506.64999999991</v>
      </c>
      <c r="C28" s="10">
        <f>B28/1.1</f>
        <v>864096.95454545435</v>
      </c>
      <c r="D28" s="10">
        <f t="shared" ref="D28" si="20">C28*10/100</f>
        <v>86409.695454545435</v>
      </c>
      <c r="E28" s="6">
        <f>SUM(E3:E27)</f>
        <v>508222.29</v>
      </c>
      <c r="F28" s="10">
        <f t="shared" si="2"/>
        <v>423518.57500000001</v>
      </c>
      <c r="G28" s="10">
        <f t="shared" ref="G28" si="21">F28*20/100</f>
        <v>84703.714999999997</v>
      </c>
      <c r="H28" s="6">
        <f>SUM(H3:H27)</f>
        <v>63899.880000000005</v>
      </c>
      <c r="I28" s="10">
        <f t="shared" si="4"/>
        <v>58090.8</v>
      </c>
      <c r="J28" s="10">
        <f t="shared" ref="J28" si="22">I28*10/100</f>
        <v>5809.08</v>
      </c>
      <c r="K28" s="6">
        <f>SUM(K3:K27)</f>
        <v>126178.68000000001</v>
      </c>
      <c r="L28" s="10">
        <f t="shared" si="6"/>
        <v>105148.90000000001</v>
      </c>
      <c r="M28" s="10">
        <f t="shared" ref="M28" si="23">L28*20/100</f>
        <v>21029.78</v>
      </c>
      <c r="N28" s="6">
        <f>SUM(N3:N27)</f>
        <v>16860</v>
      </c>
      <c r="O28" s="10">
        <f t="shared" si="8"/>
        <v>14050</v>
      </c>
      <c r="P28" s="10">
        <f t="shared" ref="P28" si="24">O28*20/100</f>
        <v>2810</v>
      </c>
      <c r="Q28" s="6">
        <f>SUM(Q3:Q27)</f>
        <v>70698</v>
      </c>
      <c r="R28" s="6">
        <f t="shared" ref="R28:U28" si="25">SUM(R3:R27)</f>
        <v>1537114.5</v>
      </c>
      <c r="S28" s="6">
        <f t="shared" si="25"/>
        <v>56235</v>
      </c>
      <c r="T28" s="6">
        <f t="shared" si="25"/>
        <v>24150</v>
      </c>
      <c r="U28" s="6">
        <f t="shared" si="25"/>
        <v>1112965.4100000001</v>
      </c>
      <c r="V28" s="3"/>
    </row>
    <row r="29" spans="1:23" x14ac:dyDescent="0.3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1:23" x14ac:dyDescent="0.3">
      <c r="A30" s="4" t="s">
        <v>42</v>
      </c>
      <c r="B30" s="11">
        <v>13340</v>
      </c>
      <c r="C30" s="9">
        <f t="shared" ref="C30" si="26">B30/1.1</f>
        <v>12127.272727272726</v>
      </c>
      <c r="D30" s="9">
        <f t="shared" ref="D30" si="27">C30*0.1</f>
        <v>1212.7272727272727</v>
      </c>
      <c r="E30" s="11">
        <v>13415</v>
      </c>
      <c r="F30" s="9">
        <f t="shared" ref="F30" si="28">E30/1.2</f>
        <v>11179.166666666668</v>
      </c>
      <c r="G30" s="9">
        <f t="shared" ref="G30" si="29">F30*0.2</f>
        <v>2235.8333333333335</v>
      </c>
      <c r="H30" s="11">
        <v>1980</v>
      </c>
      <c r="I30" s="9">
        <f t="shared" ref="I30" si="30">H30/1.1</f>
        <v>1799.9999999999998</v>
      </c>
      <c r="J30" s="9">
        <f t="shared" ref="J30" si="31">I30*0.1</f>
        <v>180</v>
      </c>
      <c r="K30" s="11">
        <v>1600</v>
      </c>
      <c r="L30" s="9">
        <f>K30/1.2</f>
        <v>1333.3333333333335</v>
      </c>
      <c r="M30" s="9">
        <f t="shared" ref="M30" si="32">L30*0.2</f>
        <v>266.66666666666669</v>
      </c>
      <c r="N30" s="11"/>
      <c r="O30" s="9">
        <f t="shared" ref="O30" si="33">N30/1.2</f>
        <v>0</v>
      </c>
      <c r="P30" s="9">
        <f t="shared" ref="P30" si="34">O30*0.2</f>
        <v>0</v>
      </c>
      <c r="Q30" s="9">
        <f>0</f>
        <v>0</v>
      </c>
      <c r="R30" s="11">
        <v>25995</v>
      </c>
      <c r="S30" s="11">
        <v>4350</v>
      </c>
      <c r="T30" s="9">
        <v>0</v>
      </c>
      <c r="U30" s="17"/>
    </row>
    <row r="31" spans="1:23" x14ac:dyDescent="0.3">
      <c r="Q31" s="5">
        <f>+Q28+Q30</f>
        <v>70698</v>
      </c>
      <c r="R31" s="5">
        <f t="shared" ref="R31:U31" si="35">+R28+R30</f>
        <v>1563109.5</v>
      </c>
      <c r="S31" s="5">
        <f t="shared" si="35"/>
        <v>60585</v>
      </c>
      <c r="T31" s="5">
        <f t="shared" si="35"/>
        <v>24150</v>
      </c>
      <c r="U31" s="5">
        <f t="shared" si="35"/>
        <v>1112965.4100000001</v>
      </c>
    </row>
  </sheetData>
  <mergeCells count="1">
    <mergeCell ref="T1:U1"/>
  </mergeCells>
  <pageMargins left="0.7" right="0.7" top="0.75" bottom="0.75" header="0.3" footer="0.3"/>
  <pageSetup paperSize="9" scale="5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4"/>
  <sheetViews>
    <sheetView workbookViewId="0">
      <selection activeCell="F16" sqref="F16"/>
    </sheetView>
  </sheetViews>
  <sheetFormatPr defaultRowHeight="14.4" x14ac:dyDescent="0.3"/>
  <cols>
    <col min="1" max="1" width="16.44140625" customWidth="1"/>
    <col min="2" max="2" width="24.33203125" style="31" customWidth="1"/>
    <col min="3" max="3" width="16.33203125" customWidth="1"/>
    <col min="4" max="4" width="14.77734375" customWidth="1"/>
    <col min="5" max="7" width="15.6640625" customWidth="1"/>
    <col min="8" max="8" width="11.88671875" customWidth="1"/>
    <col min="9" max="9" width="14.5546875" customWidth="1"/>
    <col min="10" max="10" width="15.109375" customWidth="1"/>
    <col min="11" max="11" width="12.88671875" bestFit="1" customWidth="1"/>
    <col min="12" max="12" width="13" customWidth="1"/>
    <col min="13" max="13" width="12.88671875" bestFit="1" customWidth="1"/>
    <col min="14" max="14" width="9.33203125" bestFit="1" customWidth="1"/>
  </cols>
  <sheetData>
    <row r="1" spans="1:13" ht="15" thickBot="1" x14ac:dyDescent="0.35">
      <c r="A1" s="27" t="s">
        <v>24</v>
      </c>
      <c r="B1" s="29">
        <v>441935.41</v>
      </c>
      <c r="D1" s="1" t="s">
        <v>6</v>
      </c>
      <c r="E1" s="1" t="s">
        <v>7</v>
      </c>
      <c r="F1" s="1" t="s">
        <v>19</v>
      </c>
      <c r="G1" s="39" t="s">
        <v>8</v>
      </c>
      <c r="H1" s="40"/>
      <c r="K1" t="s">
        <v>43</v>
      </c>
    </row>
    <row r="2" spans="1:13" ht="15" thickBot="1" x14ac:dyDescent="0.35">
      <c r="A2" s="27" t="s">
        <v>25</v>
      </c>
      <c r="B2" s="29">
        <v>1076020</v>
      </c>
      <c r="D2" s="12"/>
      <c r="E2" s="12"/>
      <c r="F2" s="12"/>
      <c r="G2" s="12" t="s">
        <v>6</v>
      </c>
      <c r="H2" s="13" t="s">
        <v>9</v>
      </c>
    </row>
    <row r="3" spans="1:13" ht="15" thickBot="1" x14ac:dyDescent="0.35">
      <c r="A3" s="27" t="s">
        <v>26</v>
      </c>
      <c r="B3" s="29">
        <v>1588349.5</v>
      </c>
      <c r="D3" s="5">
        <v>70698</v>
      </c>
      <c r="E3" s="5">
        <v>1537114.5</v>
      </c>
      <c r="F3" s="5">
        <v>56235</v>
      </c>
      <c r="G3" s="5">
        <v>24150</v>
      </c>
      <c r="H3" s="5">
        <v>1112965.4100000001</v>
      </c>
      <c r="I3" s="5">
        <f>SUM(D3:H3)</f>
        <v>2801162.91</v>
      </c>
      <c r="J3" s="32">
        <f>+SUM(B17:C18)</f>
        <v>2770817.91</v>
      </c>
      <c r="K3" s="32">
        <f>+I3-J3</f>
        <v>30345</v>
      </c>
    </row>
    <row r="4" spans="1:13" ht="15" thickBot="1" x14ac:dyDescent="0.35">
      <c r="A4" s="27" t="s">
        <v>27</v>
      </c>
      <c r="B4" s="29">
        <v>24150</v>
      </c>
    </row>
    <row r="5" spans="1:13" ht="15" thickBot="1" x14ac:dyDescent="0.35">
      <c r="A5" s="27" t="s">
        <v>28</v>
      </c>
      <c r="B5" s="29">
        <v>70698</v>
      </c>
    </row>
    <row r="6" spans="1:13" ht="15" thickBot="1" x14ac:dyDescent="0.35">
      <c r="A6" s="27" t="s">
        <v>29</v>
      </c>
      <c r="B6" s="29">
        <v>0</v>
      </c>
      <c r="H6" s="39" t="s">
        <v>8</v>
      </c>
      <c r="I6" s="40"/>
    </row>
    <row r="7" spans="1:13" ht="15" thickBot="1" x14ac:dyDescent="0.35">
      <c r="A7" s="27" t="s">
        <v>30</v>
      </c>
      <c r="B7" s="29">
        <v>0</v>
      </c>
      <c r="D7" s="1" t="s">
        <v>6</v>
      </c>
      <c r="E7" s="1" t="s">
        <v>7</v>
      </c>
      <c r="F7" s="1"/>
      <c r="G7" s="1"/>
      <c r="H7" s="12" t="s">
        <v>6</v>
      </c>
      <c r="I7" s="13" t="s">
        <v>9</v>
      </c>
      <c r="J7" t="s">
        <v>34</v>
      </c>
      <c r="K7" s="5">
        <f>+K9-H8-I8</f>
        <v>404989.99999999977</v>
      </c>
    </row>
    <row r="8" spans="1:13" ht="15" thickBot="1" x14ac:dyDescent="0.35">
      <c r="A8" s="28" t="s">
        <v>31</v>
      </c>
      <c r="B8" s="30">
        <v>0</v>
      </c>
      <c r="C8" t="s">
        <v>33</v>
      </c>
      <c r="D8" s="5">
        <f>+D3+G3</f>
        <v>94848</v>
      </c>
      <c r="E8" s="5">
        <f>+E3+H3+F3</f>
        <v>2706314.91</v>
      </c>
      <c r="F8" s="5"/>
      <c r="G8" s="5"/>
      <c r="H8" s="6">
        <v>24150</v>
      </c>
      <c r="I8" s="6">
        <v>1112965.4100000001</v>
      </c>
      <c r="K8" t="s">
        <v>41</v>
      </c>
      <c r="L8" t="s">
        <v>40</v>
      </c>
    </row>
    <row r="9" spans="1:13" x14ac:dyDescent="0.3">
      <c r="B9" s="31">
        <f>SUM(B1:B8)</f>
        <v>3201152.91</v>
      </c>
      <c r="C9" t="s">
        <v>32</v>
      </c>
      <c r="D9" s="32">
        <f>+B4+B5</f>
        <v>94848</v>
      </c>
      <c r="E9" s="32">
        <f>+B2+B3</f>
        <v>2664369.5</v>
      </c>
      <c r="F9" s="32">
        <f>+B1</f>
        <v>441935.41</v>
      </c>
      <c r="G9" s="32"/>
      <c r="H9" s="32">
        <f>+B4</f>
        <v>24150</v>
      </c>
      <c r="I9" s="32">
        <f>+B2</f>
        <v>1076020</v>
      </c>
      <c r="J9" s="32">
        <f>+B1</f>
        <v>441935.41</v>
      </c>
      <c r="K9" s="32">
        <f>+B2+B4+B1</f>
        <v>1542105.41</v>
      </c>
      <c r="L9" s="5">
        <f>+[1]çalışma!$L$78</f>
        <v>11050</v>
      </c>
      <c r="M9" s="32">
        <f>+K9-L9</f>
        <v>1531055.41</v>
      </c>
    </row>
    <row r="10" spans="1:13" x14ac:dyDescent="0.3">
      <c r="D10" s="32">
        <f>+D8-D9</f>
        <v>0</v>
      </c>
      <c r="E10" s="32">
        <f>+E8-E9</f>
        <v>41945.410000000149</v>
      </c>
      <c r="F10" s="32"/>
      <c r="G10" s="32"/>
      <c r="H10" s="32"/>
      <c r="I10" s="32"/>
    </row>
    <row r="11" spans="1:13" x14ac:dyDescent="0.3">
      <c r="H11" t="s">
        <v>39</v>
      </c>
      <c r="I11" s="32">
        <f>6835+6665+9645+7200</f>
        <v>30345</v>
      </c>
    </row>
    <row r="12" spans="1:13" x14ac:dyDescent="0.3">
      <c r="I12" s="32"/>
      <c r="L12" s="5"/>
    </row>
    <row r="13" spans="1:13" x14ac:dyDescent="0.3">
      <c r="L13" s="5"/>
    </row>
    <row r="14" spans="1:13" x14ac:dyDescent="0.3">
      <c r="I14" s="32"/>
      <c r="L14" s="31"/>
    </row>
    <row r="15" spans="1:13" x14ac:dyDescent="0.3">
      <c r="I15" s="32"/>
    </row>
    <row r="16" spans="1:13" x14ac:dyDescent="0.3">
      <c r="A16" s="35" t="s">
        <v>38</v>
      </c>
      <c r="B16" s="34"/>
      <c r="C16" s="34"/>
    </row>
    <row r="17" spans="1:11" x14ac:dyDescent="0.3">
      <c r="A17" s="5" t="s">
        <v>36</v>
      </c>
      <c r="B17" s="33">
        <v>54383</v>
      </c>
      <c r="C17" s="33">
        <v>40465</v>
      </c>
      <c r="D17" s="32">
        <f>+B17+C17</f>
        <v>94848</v>
      </c>
      <c r="K17" s="31"/>
    </row>
    <row r="18" spans="1:11" x14ac:dyDescent="0.3">
      <c r="A18" t="s">
        <v>35</v>
      </c>
      <c r="B18" s="33">
        <v>1075089.5</v>
      </c>
      <c r="C18" s="33">
        <v>1600880.41</v>
      </c>
      <c r="D18" s="32">
        <f>+B18+C18</f>
        <v>2675969.91</v>
      </c>
      <c r="H18" s="5"/>
      <c r="I18" s="5"/>
      <c r="J18" s="32"/>
    </row>
    <row r="19" spans="1:11" x14ac:dyDescent="0.3">
      <c r="B19" s="33"/>
      <c r="C19" s="33"/>
      <c r="H19" s="5"/>
      <c r="J19" s="32"/>
    </row>
    <row r="20" spans="1:11" x14ac:dyDescent="0.3">
      <c r="A20" s="35" t="s">
        <v>37</v>
      </c>
      <c r="B20" s="34"/>
      <c r="C20" s="34"/>
      <c r="H20" s="5"/>
      <c r="I20" s="32"/>
    </row>
    <row r="21" spans="1:11" x14ac:dyDescent="0.3">
      <c r="A21" s="5" t="s">
        <v>36</v>
      </c>
      <c r="B21" s="33">
        <v>118049</v>
      </c>
      <c r="C21" s="33"/>
    </row>
    <row r="22" spans="1:11" x14ac:dyDescent="0.3">
      <c r="A22" t="s">
        <v>35</v>
      </c>
      <c r="B22" s="33">
        <v>564101</v>
      </c>
      <c r="C22" s="33"/>
      <c r="H22" s="5"/>
    </row>
    <row r="23" spans="1:11" x14ac:dyDescent="0.3">
      <c r="B23" s="33"/>
      <c r="C23" s="33"/>
    </row>
    <row r="24" spans="1:11" x14ac:dyDescent="0.3">
      <c r="B24" s="33"/>
      <c r="C24" s="33"/>
      <c r="H24" s="32"/>
    </row>
  </sheetData>
  <mergeCells count="2">
    <mergeCell ref="G1:H1"/>
    <mergeCell ref="H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34"/>
  <sheetViews>
    <sheetView topLeftCell="A4" zoomScaleNormal="100" workbookViewId="0">
      <selection activeCell="B29" sqref="B29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19" width="11.6640625" customWidth="1"/>
    <col min="20" max="21" width="13.88671875" customWidth="1"/>
    <col min="22" max="22" width="32.109375" style="4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39" t="s">
        <v>8</v>
      </c>
      <c r="U1" s="40"/>
      <c r="V1" s="12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">
      <c r="A3" s="8">
        <v>45778</v>
      </c>
      <c r="B3" s="11">
        <f>995+5700+36845</f>
        <v>43540</v>
      </c>
      <c r="C3" s="9">
        <f>B3/1.1</f>
        <v>39581.818181818177</v>
      </c>
      <c r="D3" s="9">
        <f>C3*0.1</f>
        <v>3958.181818181818</v>
      </c>
      <c r="E3" s="11">
        <f>1200+3250+12495</f>
        <v>16945</v>
      </c>
      <c r="F3" s="9">
        <f>E3/1.2</f>
        <v>14120.833333333334</v>
      </c>
      <c r="G3" s="9">
        <f>F3*0.2</f>
        <v>2824.166666666667</v>
      </c>
      <c r="H3" s="11">
        <f>850+2440</f>
        <v>3290</v>
      </c>
      <c r="I3" s="9">
        <f>H3/1.1</f>
        <v>2990.9090909090905</v>
      </c>
      <c r="J3" s="9">
        <f>I3*0.1</f>
        <v>299.09090909090907</v>
      </c>
      <c r="K3" s="11">
        <f>800+400+4400</f>
        <v>5600</v>
      </c>
      <c r="L3" s="9">
        <f>K3/1.2</f>
        <v>4666.666666666667</v>
      </c>
      <c r="M3" s="9">
        <f>L3*0.2</f>
        <v>933.33333333333348</v>
      </c>
      <c r="N3" s="9">
        <v>0</v>
      </c>
      <c r="O3" s="9">
        <f>N3/1.2</f>
        <v>0</v>
      </c>
      <c r="P3" s="9">
        <f>O3*0.2</f>
        <v>0</v>
      </c>
      <c r="Q3" s="9">
        <f>0</f>
        <v>0</v>
      </c>
      <c r="R3" s="11">
        <f>3845+9350+56180</f>
        <v>69375</v>
      </c>
      <c r="S3" s="9">
        <v>0</v>
      </c>
      <c r="T3" s="9">
        <v>0</v>
      </c>
      <c r="U3" s="17">
        <v>6355</v>
      </c>
      <c r="V3" s="3"/>
    </row>
    <row r="4" spans="1:22" x14ac:dyDescent="0.3">
      <c r="A4" s="8">
        <v>45779</v>
      </c>
      <c r="B4" s="11">
        <f>39340+6845+10995+450</f>
        <v>57630</v>
      </c>
      <c r="C4" s="9">
        <f t="shared" ref="C4:C29" si="0">B4/1.1</f>
        <v>52390.909090909088</v>
      </c>
      <c r="D4" s="9">
        <f t="shared" ref="D4:D29" si="1">C4*0.1</f>
        <v>5239.090909090909</v>
      </c>
      <c r="E4" s="11">
        <f>4045+4100+9900+11650+15175</f>
        <v>44870</v>
      </c>
      <c r="F4" s="9">
        <f t="shared" ref="F4:F29" si="2">E4/1.2</f>
        <v>37391.666666666672</v>
      </c>
      <c r="G4" s="9">
        <f t="shared" ref="G4:G29" si="3">F4*0.2</f>
        <v>7478.3333333333348</v>
      </c>
      <c r="H4" s="11">
        <f>1885+90+180+220+840</f>
        <v>3215</v>
      </c>
      <c r="I4" s="9">
        <f t="shared" ref="I4:I29" si="4">H4/1.1</f>
        <v>2922.7272727272725</v>
      </c>
      <c r="J4" s="9">
        <f t="shared" ref="J4:J29" si="5">I4*0.1</f>
        <v>292.27272727272725</v>
      </c>
      <c r="K4" s="11">
        <f>3800+800+3000+3000+2200</f>
        <v>12800</v>
      </c>
      <c r="L4" s="9">
        <f t="shared" ref="L4:L29" si="6">K4/1.2</f>
        <v>10666.666666666668</v>
      </c>
      <c r="M4" s="9">
        <f t="shared" ref="M4:M29" si="7">L4*0.2</f>
        <v>2133.3333333333335</v>
      </c>
      <c r="N4" s="11">
        <f>520+575</f>
        <v>1095</v>
      </c>
      <c r="O4" s="9">
        <f t="shared" ref="O4:O29" si="8">N4/1.2</f>
        <v>912.5</v>
      </c>
      <c r="P4" s="9">
        <f t="shared" ref="P4:P29" si="9">O4*0.2</f>
        <v>182.5</v>
      </c>
      <c r="Q4" s="9">
        <v>0</v>
      </c>
      <c r="R4" s="11">
        <f>49590+12410+24075-1200+15320+18215</f>
        <v>118410</v>
      </c>
      <c r="S4" s="11">
        <v>1200</v>
      </c>
      <c r="T4" s="9">
        <v>0</v>
      </c>
      <c r="U4" s="17">
        <f>64035+17720</f>
        <v>81755</v>
      </c>
      <c r="V4" s="3"/>
    </row>
    <row r="5" spans="1:22" x14ac:dyDescent="0.3">
      <c r="A5" s="8">
        <v>45780</v>
      </c>
      <c r="B5" s="11">
        <f>49625+5720+18555+8195+3085</f>
        <v>85180</v>
      </c>
      <c r="C5" s="9">
        <f t="shared" si="0"/>
        <v>77436.363636363632</v>
      </c>
      <c r="D5" s="9">
        <f t="shared" si="1"/>
        <v>7743.636363636364</v>
      </c>
      <c r="E5" s="11">
        <f>18020+13025+9335+6175+6600</f>
        <v>53155</v>
      </c>
      <c r="F5" s="9">
        <f t="shared" si="2"/>
        <v>44295.833333333336</v>
      </c>
      <c r="G5" s="9">
        <f t="shared" si="3"/>
        <v>8859.1666666666679</v>
      </c>
      <c r="H5" s="11">
        <f>1660+1685+1255+700</f>
        <v>5300</v>
      </c>
      <c r="I5" s="9">
        <f t="shared" si="4"/>
        <v>4818.181818181818</v>
      </c>
      <c r="J5" s="9">
        <f t="shared" si="5"/>
        <v>481.81818181818181</v>
      </c>
      <c r="K5" s="11">
        <f>6400+4400+2000+1200+2200</f>
        <v>16200</v>
      </c>
      <c r="L5" s="9">
        <f t="shared" si="6"/>
        <v>13500</v>
      </c>
      <c r="M5" s="9">
        <f t="shared" si="7"/>
        <v>2700</v>
      </c>
      <c r="N5" s="11">
        <f>1425+275</f>
        <v>1700</v>
      </c>
      <c r="O5" s="9">
        <f t="shared" si="8"/>
        <v>1416.6666666666667</v>
      </c>
      <c r="P5" s="9">
        <f t="shared" si="9"/>
        <v>283.33333333333337</v>
      </c>
      <c r="Q5" s="11">
        <f>3900+3400+425+1250</f>
        <v>8975</v>
      </c>
      <c r="R5" s="11">
        <f>73230-5200+21430+30720-6240+14320+12860</f>
        <v>141120</v>
      </c>
      <c r="S5" s="11">
        <f>5200+6240</f>
        <v>11440</v>
      </c>
      <c r="T5" s="9">
        <v>0</v>
      </c>
      <c r="U5" s="17">
        <f>8030+24570+19425</f>
        <v>52025</v>
      </c>
      <c r="V5" s="3"/>
    </row>
    <row r="6" spans="1:22" x14ac:dyDescent="0.3">
      <c r="A6" s="8">
        <v>45781</v>
      </c>
      <c r="B6" s="11">
        <v>23625</v>
      </c>
      <c r="C6" s="9">
        <f t="shared" si="0"/>
        <v>21477.272727272724</v>
      </c>
      <c r="D6" s="9">
        <f t="shared" si="1"/>
        <v>2147.7272727272725</v>
      </c>
      <c r="E6" s="11">
        <v>6825</v>
      </c>
      <c r="F6" s="9">
        <f t="shared" si="2"/>
        <v>5687.5</v>
      </c>
      <c r="G6" s="9">
        <f t="shared" si="3"/>
        <v>1137.5</v>
      </c>
      <c r="H6" s="11">
        <v>1700</v>
      </c>
      <c r="I6" s="9">
        <f t="shared" si="4"/>
        <v>1545.4545454545453</v>
      </c>
      <c r="J6" s="9">
        <f t="shared" si="5"/>
        <v>154.54545454545453</v>
      </c>
      <c r="K6" s="11">
        <v>2800</v>
      </c>
      <c r="L6" s="9">
        <f t="shared" si="6"/>
        <v>2333.3333333333335</v>
      </c>
      <c r="M6" s="9">
        <f t="shared" si="7"/>
        <v>466.66666666666674</v>
      </c>
      <c r="N6" s="9">
        <v>0</v>
      </c>
      <c r="O6" s="9">
        <f t="shared" si="8"/>
        <v>0</v>
      </c>
      <c r="P6" s="9">
        <f t="shared" si="9"/>
        <v>0</v>
      </c>
      <c r="Q6" s="9">
        <v>0</v>
      </c>
      <c r="R6" s="11">
        <v>34950</v>
      </c>
      <c r="S6" s="9">
        <v>0</v>
      </c>
      <c r="T6" s="9">
        <v>0</v>
      </c>
      <c r="U6" s="14">
        <v>0</v>
      </c>
      <c r="V6" s="3"/>
    </row>
    <row r="7" spans="1:22" x14ac:dyDescent="0.3">
      <c r="A7" s="8">
        <v>45783</v>
      </c>
      <c r="B7" s="11">
        <f>7860+45210</f>
        <v>53070</v>
      </c>
      <c r="C7" s="9">
        <f t="shared" si="0"/>
        <v>48245.454545454544</v>
      </c>
      <c r="D7" s="9">
        <f t="shared" si="1"/>
        <v>4824.545454545455</v>
      </c>
      <c r="E7" s="11">
        <f>4300+15390</f>
        <v>19690</v>
      </c>
      <c r="F7" s="9">
        <f t="shared" si="2"/>
        <v>16408.333333333336</v>
      </c>
      <c r="G7" s="9">
        <f t="shared" si="3"/>
        <v>3281.6666666666674</v>
      </c>
      <c r="H7" s="11">
        <f>1155+1080</f>
        <v>2235</v>
      </c>
      <c r="I7" s="9">
        <f t="shared" si="4"/>
        <v>2031.8181818181818</v>
      </c>
      <c r="J7" s="9">
        <f t="shared" si="5"/>
        <v>203.18181818181819</v>
      </c>
      <c r="K7" s="11">
        <f>1000+800+5200</f>
        <v>7000</v>
      </c>
      <c r="L7" s="9">
        <f t="shared" si="6"/>
        <v>5833.3333333333339</v>
      </c>
      <c r="M7" s="9">
        <f t="shared" si="7"/>
        <v>1166.6666666666667</v>
      </c>
      <c r="N7" s="11">
        <v>400</v>
      </c>
      <c r="O7" s="9">
        <f t="shared" si="8"/>
        <v>333.33333333333337</v>
      </c>
      <c r="P7" s="9">
        <f t="shared" si="9"/>
        <v>66.666666666666671</v>
      </c>
      <c r="Q7" s="11">
        <f>2250+7675</f>
        <v>9925</v>
      </c>
      <c r="R7" s="11">
        <f>10415+59205</f>
        <v>69620</v>
      </c>
      <c r="S7" s="11">
        <v>2850</v>
      </c>
      <c r="T7" s="9">
        <v>0</v>
      </c>
      <c r="U7" s="17">
        <v>6530</v>
      </c>
      <c r="V7" s="3"/>
    </row>
    <row r="8" spans="1:22" x14ac:dyDescent="0.3">
      <c r="A8" s="8">
        <v>45784</v>
      </c>
      <c r="B8" s="11">
        <f>11535+42160</f>
        <v>53695</v>
      </c>
      <c r="C8" s="9">
        <f t="shared" si="0"/>
        <v>48813.63636363636</v>
      </c>
      <c r="D8" s="9">
        <f t="shared" si="1"/>
        <v>4881.363636363636</v>
      </c>
      <c r="E8" s="11">
        <f>3200+10120</f>
        <v>13320</v>
      </c>
      <c r="F8" s="9">
        <f t="shared" si="2"/>
        <v>11100</v>
      </c>
      <c r="G8" s="9">
        <f t="shared" si="3"/>
        <v>2220</v>
      </c>
      <c r="H8" s="11">
        <f>200+1370</f>
        <v>1570</v>
      </c>
      <c r="I8" s="9">
        <f t="shared" si="4"/>
        <v>1427.2727272727273</v>
      </c>
      <c r="J8" s="9">
        <f t="shared" si="5"/>
        <v>142.72727272727272</v>
      </c>
      <c r="K8" s="11">
        <f>1400+4400</f>
        <v>5800</v>
      </c>
      <c r="L8" s="9">
        <f t="shared" si="6"/>
        <v>4833.3333333333339</v>
      </c>
      <c r="M8" s="9">
        <f t="shared" si="7"/>
        <v>966.66666666666686</v>
      </c>
      <c r="N8" s="11">
        <v>550</v>
      </c>
      <c r="O8" s="9">
        <f t="shared" si="8"/>
        <v>458.33333333333337</v>
      </c>
      <c r="P8" s="9">
        <f t="shared" si="9"/>
        <v>91.666666666666686</v>
      </c>
      <c r="Q8" s="9">
        <v>0</v>
      </c>
      <c r="R8" s="11">
        <f>16885-7240+51960</f>
        <v>61605</v>
      </c>
      <c r="S8" s="11">
        <f>7240+6090</f>
        <v>13330</v>
      </c>
      <c r="T8" s="11">
        <v>4000</v>
      </c>
      <c r="U8" s="17">
        <f>7000+46750</f>
        <v>53750</v>
      </c>
      <c r="V8" s="3"/>
    </row>
    <row r="9" spans="1:22" x14ac:dyDescent="0.3">
      <c r="A9" s="8">
        <v>45785</v>
      </c>
      <c r="B9" s="11">
        <f>28145+485</f>
        <v>28630</v>
      </c>
      <c r="C9" s="9">
        <f t="shared" si="0"/>
        <v>26027.272727272724</v>
      </c>
      <c r="D9" s="9">
        <f t="shared" si="1"/>
        <v>2602.7272727272725</v>
      </c>
      <c r="E9" s="11">
        <f>2500+5665+1200</f>
        <v>9365</v>
      </c>
      <c r="F9" s="9">
        <f t="shared" si="2"/>
        <v>7804.166666666667</v>
      </c>
      <c r="G9" s="9">
        <f t="shared" si="3"/>
        <v>1560.8333333333335</v>
      </c>
      <c r="H9" s="11">
        <f>2535</f>
        <v>2535</v>
      </c>
      <c r="I9" s="9">
        <f t="shared" si="4"/>
        <v>2304.5454545454545</v>
      </c>
      <c r="J9" s="9">
        <f t="shared" si="5"/>
        <v>230.45454545454547</v>
      </c>
      <c r="K9" s="11">
        <f>400+3200+400</f>
        <v>4000</v>
      </c>
      <c r="L9" s="9">
        <f t="shared" si="6"/>
        <v>3333.3333333333335</v>
      </c>
      <c r="M9" s="9">
        <f t="shared" si="7"/>
        <v>666.66666666666674</v>
      </c>
      <c r="N9" s="11">
        <v>600</v>
      </c>
      <c r="O9" s="9">
        <f t="shared" si="8"/>
        <v>500</v>
      </c>
      <c r="P9" s="9">
        <f t="shared" si="9"/>
        <v>100</v>
      </c>
      <c r="Q9" s="9">
        <v>0</v>
      </c>
      <c r="R9" s="11">
        <f>3500+39545+2085</f>
        <v>45130</v>
      </c>
      <c r="S9" s="9">
        <v>0</v>
      </c>
      <c r="T9" s="9">
        <v>0</v>
      </c>
      <c r="U9" s="17">
        <f>12100+15925</f>
        <v>28025</v>
      </c>
      <c r="V9" s="3"/>
    </row>
    <row r="10" spans="1:22" x14ac:dyDescent="0.3">
      <c r="A10" s="8">
        <v>45786</v>
      </c>
      <c r="B10" s="11">
        <f>845+485+46845</f>
        <v>48175</v>
      </c>
      <c r="C10" s="9">
        <f t="shared" si="0"/>
        <v>43795.454545454544</v>
      </c>
      <c r="D10" s="9">
        <f t="shared" si="1"/>
        <v>4379.545454545455</v>
      </c>
      <c r="E10" s="11">
        <f>3600+11050+16385</f>
        <v>31035</v>
      </c>
      <c r="F10" s="9">
        <f t="shared" si="2"/>
        <v>25862.5</v>
      </c>
      <c r="G10" s="9">
        <f t="shared" si="3"/>
        <v>5172.5</v>
      </c>
      <c r="H10" s="11">
        <f>1275+2375</f>
        <v>3650</v>
      </c>
      <c r="I10" s="9">
        <f t="shared" si="4"/>
        <v>3318.181818181818</v>
      </c>
      <c r="J10" s="9">
        <f t="shared" si="5"/>
        <v>331.81818181818181</v>
      </c>
      <c r="K10" s="11">
        <f>1200+1400+5600</f>
        <v>8200</v>
      </c>
      <c r="L10" s="9">
        <f t="shared" si="6"/>
        <v>6833.3333333333339</v>
      </c>
      <c r="M10" s="9">
        <f t="shared" si="7"/>
        <v>1366.666666666667</v>
      </c>
      <c r="N10" s="9">
        <v>0</v>
      </c>
      <c r="O10" s="9">
        <f t="shared" si="8"/>
        <v>0</v>
      </c>
      <c r="P10" s="9">
        <f t="shared" si="9"/>
        <v>0</v>
      </c>
      <c r="Q10" s="9">
        <v>0</v>
      </c>
      <c r="R10" s="11">
        <f>5645+14210+71205</f>
        <v>91060</v>
      </c>
      <c r="S10" s="9">
        <v>0</v>
      </c>
      <c r="T10" s="9">
        <v>0</v>
      </c>
      <c r="U10" s="17">
        <f>23235+11075</f>
        <v>34310</v>
      </c>
      <c r="V10" s="3"/>
    </row>
    <row r="11" spans="1:22" x14ac:dyDescent="0.3">
      <c r="A11" s="8">
        <v>45787</v>
      </c>
      <c r="B11" s="11">
        <f>2525+5000+46645+4350</f>
        <v>58520</v>
      </c>
      <c r="C11" s="9">
        <f t="shared" si="0"/>
        <v>53199.999999999993</v>
      </c>
      <c r="D11" s="9">
        <f t="shared" si="1"/>
        <v>5320</v>
      </c>
      <c r="E11" s="11">
        <f>18875+6200+15250+8815+1640</f>
        <v>50780</v>
      </c>
      <c r="F11" s="9">
        <f t="shared" si="2"/>
        <v>42316.666666666672</v>
      </c>
      <c r="G11" s="9">
        <f t="shared" si="3"/>
        <v>8463.3333333333339</v>
      </c>
      <c r="H11" s="11">
        <f>595+850+850+3345+605</f>
        <v>6245</v>
      </c>
      <c r="I11" s="9">
        <f t="shared" si="4"/>
        <v>5677.272727272727</v>
      </c>
      <c r="J11" s="9">
        <f t="shared" si="5"/>
        <v>567.72727272727275</v>
      </c>
      <c r="K11" s="11">
        <f>2800+1400+3200+5000+600</f>
        <v>13000</v>
      </c>
      <c r="L11" s="9">
        <f t="shared" si="6"/>
        <v>10833.333333333334</v>
      </c>
      <c r="M11" s="9">
        <f t="shared" si="7"/>
        <v>2166.666666666667</v>
      </c>
      <c r="N11" s="11">
        <v>650</v>
      </c>
      <c r="O11" s="9">
        <f t="shared" si="8"/>
        <v>541.66666666666674</v>
      </c>
      <c r="P11" s="9">
        <f t="shared" si="9"/>
        <v>108.33333333333336</v>
      </c>
      <c r="Q11" s="11">
        <f>1400+1450</f>
        <v>2850</v>
      </c>
      <c r="R11" s="11">
        <f>20820+10975+13550+64455+7195</f>
        <v>116995</v>
      </c>
      <c r="S11" s="11">
        <f>9350</f>
        <v>9350</v>
      </c>
      <c r="T11" s="19">
        <f>11645+10985</f>
        <v>22630</v>
      </c>
      <c r="U11" s="38">
        <f>10500+17645+35570</f>
        <v>63715</v>
      </c>
      <c r="V11" s="3" t="s">
        <v>44</v>
      </c>
    </row>
    <row r="12" spans="1:22" x14ac:dyDescent="0.3">
      <c r="A12" s="8">
        <v>45788</v>
      </c>
      <c r="B12" s="11">
        <f>10760+99925</f>
        <v>110685</v>
      </c>
      <c r="C12" s="9">
        <f t="shared" si="0"/>
        <v>100622.72727272726</v>
      </c>
      <c r="D12" s="9">
        <f t="shared" si="1"/>
        <v>10062.272727272728</v>
      </c>
      <c r="E12" s="11">
        <f>1125+24106</f>
        <v>25231</v>
      </c>
      <c r="F12" s="9">
        <f t="shared" si="2"/>
        <v>21025.833333333336</v>
      </c>
      <c r="G12" s="9">
        <f t="shared" si="3"/>
        <v>4205.166666666667</v>
      </c>
      <c r="H12" s="11">
        <f>485+6170</f>
        <v>6655</v>
      </c>
      <c r="I12" s="9">
        <f t="shared" si="4"/>
        <v>6049.9999999999991</v>
      </c>
      <c r="J12" s="9">
        <f t="shared" si="5"/>
        <v>604.99999999999989</v>
      </c>
      <c r="K12" s="11">
        <f>400+5400</f>
        <v>5800</v>
      </c>
      <c r="L12" s="9">
        <f t="shared" si="6"/>
        <v>4833.3333333333339</v>
      </c>
      <c r="M12" s="9">
        <f t="shared" si="7"/>
        <v>966.66666666666686</v>
      </c>
      <c r="N12" s="11">
        <v>550</v>
      </c>
      <c r="O12" s="9">
        <f t="shared" si="8"/>
        <v>458.33333333333337</v>
      </c>
      <c r="P12" s="9">
        <f t="shared" si="9"/>
        <v>91.666666666666686</v>
      </c>
      <c r="Q12" s="11">
        <v>8271</v>
      </c>
      <c r="R12" s="11">
        <f>12770+148565-27015</f>
        <v>134320</v>
      </c>
      <c r="S12" s="11">
        <v>6330</v>
      </c>
      <c r="T12" s="9">
        <v>0</v>
      </c>
      <c r="U12" s="17">
        <v>27015</v>
      </c>
      <c r="V12" s="3" t="s">
        <v>45</v>
      </c>
    </row>
    <row r="13" spans="1:22" x14ac:dyDescent="0.3">
      <c r="A13" s="8">
        <v>45790</v>
      </c>
      <c r="B13" s="11">
        <f>3450+29930</f>
        <v>33380</v>
      </c>
      <c r="C13" s="9">
        <f t="shared" si="0"/>
        <v>30345.454545454544</v>
      </c>
      <c r="D13" s="9">
        <f t="shared" si="1"/>
        <v>3034.5454545454545</v>
      </c>
      <c r="E13" s="11">
        <f>1900+10800+11315</f>
        <v>24015</v>
      </c>
      <c r="F13" s="9">
        <f t="shared" si="2"/>
        <v>20012.5</v>
      </c>
      <c r="G13" s="9">
        <f t="shared" si="3"/>
        <v>4002.5</v>
      </c>
      <c r="H13" s="11">
        <f>340+420</f>
        <v>760</v>
      </c>
      <c r="I13" s="9">
        <f t="shared" si="4"/>
        <v>690.90909090909088</v>
      </c>
      <c r="J13" s="9">
        <f t="shared" si="5"/>
        <v>69.090909090909093</v>
      </c>
      <c r="K13" s="11">
        <f>400+1600+3600</f>
        <v>5600</v>
      </c>
      <c r="L13" s="9">
        <f t="shared" si="6"/>
        <v>4666.666666666667</v>
      </c>
      <c r="M13" s="9">
        <f t="shared" si="7"/>
        <v>933.33333333333348</v>
      </c>
      <c r="N13" s="9">
        <v>0</v>
      </c>
      <c r="O13" s="9">
        <f t="shared" si="8"/>
        <v>0</v>
      </c>
      <c r="P13" s="9">
        <f t="shared" si="9"/>
        <v>0</v>
      </c>
      <c r="Q13" s="11">
        <f>450+2800</f>
        <v>3250</v>
      </c>
      <c r="R13" s="11">
        <f>5300+9940+45265</f>
        <v>60505</v>
      </c>
      <c r="S13" s="9">
        <v>0</v>
      </c>
      <c r="T13" s="9">
        <v>0</v>
      </c>
      <c r="U13" s="17">
        <v>20445</v>
      </c>
      <c r="V13" s="3"/>
    </row>
    <row r="14" spans="1:22" x14ac:dyDescent="0.3">
      <c r="A14" s="8">
        <v>45791</v>
      </c>
      <c r="B14" s="11">
        <f>2345+13486.84+42755</f>
        <v>58586.84</v>
      </c>
      <c r="C14" s="9">
        <f t="shared" si="0"/>
        <v>53260.763636363627</v>
      </c>
      <c r="D14" s="9">
        <f t="shared" si="1"/>
        <v>5326.0763636363627</v>
      </c>
      <c r="E14" s="11">
        <f>450+5525.74+35840</f>
        <v>41815.74</v>
      </c>
      <c r="F14" s="9">
        <f t="shared" si="2"/>
        <v>34846.449999999997</v>
      </c>
      <c r="G14" s="9">
        <f t="shared" si="3"/>
        <v>6969.29</v>
      </c>
      <c r="H14" s="11">
        <f>425+124.49+385</f>
        <v>934.49</v>
      </c>
      <c r="I14" s="9">
        <f t="shared" si="4"/>
        <v>849.5363636363636</v>
      </c>
      <c r="J14" s="9">
        <f t="shared" si="5"/>
        <v>84.953636363636363</v>
      </c>
      <c r="K14" s="11">
        <f>400+2475.43+6400</f>
        <v>9275.43</v>
      </c>
      <c r="L14" s="9">
        <f t="shared" si="6"/>
        <v>7729.5250000000005</v>
      </c>
      <c r="M14" s="9">
        <f t="shared" si="7"/>
        <v>1545.9050000000002</v>
      </c>
      <c r="N14" s="11">
        <v>545</v>
      </c>
      <c r="O14" s="9">
        <f t="shared" si="8"/>
        <v>454.16666666666669</v>
      </c>
      <c r="P14" s="9">
        <f t="shared" si="9"/>
        <v>90.833333333333343</v>
      </c>
      <c r="Q14" s="11">
        <f>2000</f>
        <v>2000</v>
      </c>
      <c r="R14" s="11">
        <f>3620+22157.5+90915-14875</f>
        <v>101817.5</v>
      </c>
      <c r="S14" s="11">
        <v>7340</v>
      </c>
      <c r="T14" s="9">
        <v>0</v>
      </c>
      <c r="U14" s="17">
        <f>7168.5+14875</f>
        <v>22043.5</v>
      </c>
      <c r="V14" s="3"/>
    </row>
    <row r="15" spans="1:22" x14ac:dyDescent="0.3">
      <c r="A15" s="8">
        <v>45792</v>
      </c>
      <c r="B15" s="11">
        <f>42795</f>
        <v>42795</v>
      </c>
      <c r="C15" s="9">
        <f t="shared" si="0"/>
        <v>38904.545454545449</v>
      </c>
      <c r="D15" s="9">
        <f t="shared" si="1"/>
        <v>3890.454545454545</v>
      </c>
      <c r="E15" s="11">
        <v>9850</v>
      </c>
      <c r="F15" s="9">
        <f t="shared" si="2"/>
        <v>8208.3333333333339</v>
      </c>
      <c r="G15" s="9">
        <f t="shared" si="3"/>
        <v>1641.666666666667</v>
      </c>
      <c r="H15" s="11">
        <v>2505</v>
      </c>
      <c r="I15" s="9">
        <f t="shared" si="4"/>
        <v>2277.272727272727</v>
      </c>
      <c r="J15" s="9">
        <f t="shared" si="5"/>
        <v>227.72727272727272</v>
      </c>
      <c r="K15" s="11">
        <v>4200</v>
      </c>
      <c r="L15" s="9">
        <f t="shared" si="6"/>
        <v>3500</v>
      </c>
      <c r="M15" s="9">
        <f t="shared" si="7"/>
        <v>700</v>
      </c>
      <c r="N15" s="9">
        <v>0</v>
      </c>
      <c r="O15" s="9">
        <f t="shared" si="8"/>
        <v>0</v>
      </c>
      <c r="P15" s="9">
        <f t="shared" si="9"/>
        <v>0</v>
      </c>
      <c r="Q15" s="9">
        <v>0</v>
      </c>
      <c r="R15" s="11">
        <f>59350</f>
        <v>59350</v>
      </c>
      <c r="S15" s="9">
        <v>0</v>
      </c>
      <c r="T15" s="11">
        <v>4480</v>
      </c>
      <c r="U15" s="17">
        <f>14425+11240</f>
        <v>25665</v>
      </c>
      <c r="V15" s="3" t="s">
        <v>46</v>
      </c>
    </row>
    <row r="16" spans="1:22" x14ac:dyDescent="0.3">
      <c r="A16" s="8">
        <v>45793</v>
      </c>
      <c r="B16" s="11">
        <f>4040+995+500+49685</f>
        <v>55220</v>
      </c>
      <c r="C16" s="9">
        <f t="shared" si="0"/>
        <v>50199.999999999993</v>
      </c>
      <c r="D16" s="9">
        <f t="shared" si="1"/>
        <v>5020</v>
      </c>
      <c r="E16" s="11">
        <f>4200+23150+16995+3050</f>
        <v>47395</v>
      </c>
      <c r="F16" s="9">
        <f t="shared" si="2"/>
        <v>39495.833333333336</v>
      </c>
      <c r="G16" s="9">
        <f t="shared" si="3"/>
        <v>7899.1666666666679</v>
      </c>
      <c r="H16" s="11">
        <f>270+850+660+1700</f>
        <v>3480</v>
      </c>
      <c r="I16" s="9">
        <f t="shared" si="4"/>
        <v>3163.6363636363635</v>
      </c>
      <c r="J16" s="9">
        <f t="shared" si="5"/>
        <v>316.36363636363637</v>
      </c>
      <c r="K16" s="11">
        <f>400+800+1000+3600+5600</f>
        <v>11400</v>
      </c>
      <c r="L16" s="9">
        <f t="shared" si="6"/>
        <v>9500</v>
      </c>
      <c r="M16" s="9">
        <f t="shared" si="7"/>
        <v>1900</v>
      </c>
      <c r="N16" s="11">
        <v>500</v>
      </c>
      <c r="O16" s="9">
        <f t="shared" si="8"/>
        <v>416.66666666666669</v>
      </c>
      <c r="P16" s="9">
        <f t="shared" si="9"/>
        <v>83.333333333333343</v>
      </c>
      <c r="Q16" s="11">
        <f>4300</f>
        <v>4300</v>
      </c>
      <c r="R16" s="11">
        <f>5210+5995+5400+23110+73980</f>
        <v>113695</v>
      </c>
      <c r="S16" s="9">
        <v>0</v>
      </c>
      <c r="T16" s="11">
        <v>7230</v>
      </c>
      <c r="U16" s="17">
        <v>10190</v>
      </c>
      <c r="V16" s="3" t="s">
        <v>47</v>
      </c>
    </row>
    <row r="17" spans="1:22" x14ac:dyDescent="0.3">
      <c r="A17" s="8">
        <v>45794</v>
      </c>
      <c r="B17" s="11">
        <f>6985+1800+48670</f>
        <v>57455</v>
      </c>
      <c r="C17" s="9">
        <f t="shared" si="0"/>
        <v>52231.818181818177</v>
      </c>
      <c r="D17" s="9">
        <f t="shared" si="1"/>
        <v>5223.181818181818</v>
      </c>
      <c r="E17" s="11">
        <f>12150+5125+2050+19020+4900</f>
        <v>43245</v>
      </c>
      <c r="F17" s="9">
        <f t="shared" si="2"/>
        <v>36037.5</v>
      </c>
      <c r="G17" s="9">
        <f t="shared" si="3"/>
        <v>7207.5</v>
      </c>
      <c r="H17" s="11">
        <f>1955</f>
        <v>1955</v>
      </c>
      <c r="I17" s="9">
        <f t="shared" si="4"/>
        <v>1777.272727272727</v>
      </c>
      <c r="J17" s="9">
        <f t="shared" si="5"/>
        <v>177.72727272727272</v>
      </c>
      <c r="K17" s="11">
        <f>2600+800+400+5400+800</f>
        <v>10000</v>
      </c>
      <c r="L17" s="9">
        <f t="shared" si="6"/>
        <v>8333.3333333333339</v>
      </c>
      <c r="M17" s="9">
        <f t="shared" si="7"/>
        <v>1666.666666666667</v>
      </c>
      <c r="N17" s="11">
        <f>640+1770</f>
        <v>2410</v>
      </c>
      <c r="O17" s="9">
        <f t="shared" si="8"/>
        <v>2008.3333333333335</v>
      </c>
      <c r="P17" s="9">
        <f t="shared" si="9"/>
        <v>401.66666666666674</v>
      </c>
      <c r="Q17" s="9">
        <f>0</f>
        <v>0</v>
      </c>
      <c r="R17" s="11">
        <f>14750+13550+4250+76815+5700</f>
        <v>115065</v>
      </c>
      <c r="S17" s="9">
        <v>0</v>
      </c>
      <c r="T17" s="11">
        <v>16770</v>
      </c>
      <c r="U17" s="17">
        <f>41200+23150+18490+33626.5</f>
        <v>116466.5</v>
      </c>
      <c r="V17" s="3" t="s">
        <v>48</v>
      </c>
    </row>
    <row r="18" spans="1:22" x14ac:dyDescent="0.3">
      <c r="A18" s="8">
        <v>45795</v>
      </c>
      <c r="B18" s="11">
        <f>4625+73574.53</f>
        <v>78199.53</v>
      </c>
      <c r="C18" s="9">
        <f t="shared" si="0"/>
        <v>71090.481818181812</v>
      </c>
      <c r="D18" s="9">
        <f t="shared" si="1"/>
        <v>7109.0481818181815</v>
      </c>
      <c r="E18" s="11">
        <f>5750+600+4760</f>
        <v>11110</v>
      </c>
      <c r="F18" s="9">
        <f t="shared" si="2"/>
        <v>9258.3333333333339</v>
      </c>
      <c r="G18" s="9">
        <f t="shared" si="3"/>
        <v>1851.666666666667</v>
      </c>
      <c r="H18" s="11">
        <f>1285+135+2130</f>
        <v>3550</v>
      </c>
      <c r="I18" s="9">
        <f t="shared" si="4"/>
        <v>3227.272727272727</v>
      </c>
      <c r="J18" s="9">
        <f t="shared" si="5"/>
        <v>322.72727272727275</v>
      </c>
      <c r="K18" s="11">
        <f>1800+400+2985.47</f>
        <v>5185.4699999999993</v>
      </c>
      <c r="L18" s="9">
        <f t="shared" si="6"/>
        <v>4321.2249999999995</v>
      </c>
      <c r="M18" s="9">
        <f t="shared" si="7"/>
        <v>864.24499999999989</v>
      </c>
      <c r="N18" s="9">
        <v>0</v>
      </c>
      <c r="O18" s="9">
        <f t="shared" si="8"/>
        <v>0</v>
      </c>
      <c r="P18" s="9">
        <f t="shared" si="9"/>
        <v>0</v>
      </c>
      <c r="Q18" s="11">
        <f>3100</f>
        <v>3100</v>
      </c>
      <c r="R18" s="11">
        <f>5735+5760+83450</f>
        <v>94945</v>
      </c>
      <c r="S18" s="9">
        <v>0</v>
      </c>
      <c r="T18" s="11">
        <v>230</v>
      </c>
      <c r="U18" s="17">
        <f>25170+17720</f>
        <v>42890</v>
      </c>
      <c r="V18" s="3"/>
    </row>
    <row r="19" spans="1:22" x14ac:dyDescent="0.3">
      <c r="A19" s="8">
        <v>45797</v>
      </c>
      <c r="B19" s="11">
        <f>995+26665</f>
        <v>27660</v>
      </c>
      <c r="C19" s="9">
        <f t="shared" ref="C19:C20" si="10">B19/1.1</f>
        <v>25145.454545454544</v>
      </c>
      <c r="D19" s="9">
        <f t="shared" ref="D19" si="11">C19*0.1</f>
        <v>2514.5454545454545</v>
      </c>
      <c r="E19" s="11">
        <f>3585+9240</f>
        <v>12825</v>
      </c>
      <c r="F19" s="9">
        <f t="shared" ref="F19:F20" si="12">E19/1.2</f>
        <v>10687.5</v>
      </c>
      <c r="G19" s="9">
        <f t="shared" ref="G19" si="13">F19*0.2</f>
        <v>2137.5</v>
      </c>
      <c r="H19" s="11">
        <f>2285</f>
        <v>2285</v>
      </c>
      <c r="I19" s="9">
        <f t="shared" ref="I19:I20" si="14">H19/1.1</f>
        <v>2077.272727272727</v>
      </c>
      <c r="J19" s="9">
        <f t="shared" ref="J19" si="15">I19*0.1</f>
        <v>207.72727272727272</v>
      </c>
      <c r="K19" s="11">
        <f>1000+3400</f>
        <v>4400</v>
      </c>
      <c r="L19" s="9">
        <f t="shared" ref="L19" si="16">K19/1.2</f>
        <v>3666.666666666667</v>
      </c>
      <c r="M19" s="9">
        <f t="shared" ref="M19" si="17">L19*0.2</f>
        <v>733.33333333333348</v>
      </c>
      <c r="N19" s="9">
        <v>0</v>
      </c>
      <c r="O19" s="9">
        <f t="shared" si="8"/>
        <v>0</v>
      </c>
      <c r="P19" s="9">
        <f t="shared" ref="P19" si="18">O19*0.2</f>
        <v>0</v>
      </c>
      <c r="Q19" s="11">
        <f>825</f>
        <v>825</v>
      </c>
      <c r="R19" s="11">
        <f>41590+4755</f>
        <v>46345</v>
      </c>
      <c r="S19" s="9">
        <v>0</v>
      </c>
      <c r="T19" s="9">
        <v>0</v>
      </c>
      <c r="U19" s="17">
        <v>25985</v>
      </c>
      <c r="V19" s="3"/>
    </row>
    <row r="20" spans="1:22" x14ac:dyDescent="0.3">
      <c r="A20" s="8">
        <v>45798</v>
      </c>
      <c r="B20" s="11">
        <v>38350</v>
      </c>
      <c r="C20" s="9">
        <f t="shared" si="10"/>
        <v>34863.63636363636</v>
      </c>
      <c r="D20" s="9">
        <f t="shared" si="1"/>
        <v>3486.363636363636</v>
      </c>
      <c r="E20" s="11">
        <v>10645</v>
      </c>
      <c r="F20" s="9">
        <f t="shared" si="12"/>
        <v>8870.8333333333339</v>
      </c>
      <c r="G20" s="9">
        <f t="shared" si="3"/>
        <v>1774.166666666667</v>
      </c>
      <c r="H20" s="11">
        <v>1155</v>
      </c>
      <c r="I20" s="9">
        <f t="shared" si="14"/>
        <v>1050</v>
      </c>
      <c r="J20" s="9">
        <f t="shared" si="5"/>
        <v>105</v>
      </c>
      <c r="K20" s="9">
        <v>0</v>
      </c>
      <c r="L20" s="9">
        <f t="shared" si="6"/>
        <v>0</v>
      </c>
      <c r="M20" s="9">
        <f t="shared" si="7"/>
        <v>0</v>
      </c>
      <c r="N20" s="11">
        <v>5000</v>
      </c>
      <c r="O20" s="9">
        <f t="shared" si="8"/>
        <v>4166.666666666667</v>
      </c>
      <c r="P20" s="9">
        <f t="shared" si="9"/>
        <v>833.33333333333348</v>
      </c>
      <c r="Q20" s="11">
        <v>900</v>
      </c>
      <c r="R20" s="11">
        <v>54250</v>
      </c>
      <c r="S20" s="9">
        <v>0</v>
      </c>
      <c r="T20" s="9">
        <v>0</v>
      </c>
      <c r="U20" s="17">
        <v>17970</v>
      </c>
      <c r="V20" s="3"/>
    </row>
    <row r="21" spans="1:22" x14ac:dyDescent="0.3">
      <c r="A21" s="8">
        <v>45799</v>
      </c>
      <c r="B21" s="11">
        <f>26275</f>
        <v>26275</v>
      </c>
      <c r="C21" s="9">
        <f t="shared" ref="C21:C26" si="19">B21/1.1</f>
        <v>23886.363636363636</v>
      </c>
      <c r="D21" s="9">
        <f t="shared" si="1"/>
        <v>2388.6363636363635</v>
      </c>
      <c r="E21" s="11">
        <f>2400+3860</f>
        <v>6260</v>
      </c>
      <c r="F21" s="9">
        <f t="shared" ref="F21:F26" si="20">E21/1.2</f>
        <v>5216.666666666667</v>
      </c>
      <c r="G21" s="9">
        <f t="shared" si="3"/>
        <v>1043.3333333333335</v>
      </c>
      <c r="H21" s="11">
        <f>650+95</f>
        <v>745</v>
      </c>
      <c r="I21" s="9">
        <f t="shared" ref="I21:I26" si="21">H21/1.1</f>
        <v>677.27272727272725</v>
      </c>
      <c r="J21" s="9">
        <f t="shared" si="5"/>
        <v>67.727272727272734</v>
      </c>
      <c r="K21" s="11">
        <f>1200+2600</f>
        <v>3800</v>
      </c>
      <c r="L21" s="9">
        <f t="shared" si="6"/>
        <v>3166.666666666667</v>
      </c>
      <c r="M21" s="9">
        <f t="shared" si="7"/>
        <v>633.33333333333348</v>
      </c>
      <c r="N21" s="11">
        <v>600</v>
      </c>
      <c r="O21" s="9">
        <f t="shared" ref="O21:O26" si="22">N21/1.2</f>
        <v>500</v>
      </c>
      <c r="P21" s="9">
        <f t="shared" si="9"/>
        <v>100</v>
      </c>
      <c r="Q21" s="11">
        <f>600</f>
        <v>600</v>
      </c>
      <c r="R21" s="11">
        <f>3650+33430</f>
        <v>37080</v>
      </c>
      <c r="S21" s="9">
        <v>0</v>
      </c>
      <c r="T21" s="9">
        <v>0</v>
      </c>
      <c r="U21" s="14">
        <v>0</v>
      </c>
      <c r="V21" s="3"/>
    </row>
    <row r="22" spans="1:22" x14ac:dyDescent="0.3">
      <c r="A22" s="8">
        <v>45800</v>
      </c>
      <c r="B22" s="11">
        <f>74450+2950</f>
        <v>77400</v>
      </c>
      <c r="C22" s="9">
        <f t="shared" si="19"/>
        <v>70363.636363636353</v>
      </c>
      <c r="D22" s="9">
        <f t="shared" si="1"/>
        <v>7036.363636363636</v>
      </c>
      <c r="E22" s="11">
        <f>1250+9550+33230+1490</f>
        <v>45520</v>
      </c>
      <c r="F22" s="9">
        <f t="shared" si="20"/>
        <v>37933.333333333336</v>
      </c>
      <c r="G22" s="9">
        <f t="shared" si="3"/>
        <v>7586.6666666666679</v>
      </c>
      <c r="H22" s="11">
        <f>755+2740</f>
        <v>3495</v>
      </c>
      <c r="I22" s="9">
        <f t="shared" si="21"/>
        <v>3177.272727272727</v>
      </c>
      <c r="J22" s="9">
        <f t="shared" si="5"/>
        <v>317.72727272727275</v>
      </c>
      <c r="K22" s="11">
        <f>400+2200+8200+400</f>
        <v>11200</v>
      </c>
      <c r="L22" s="9">
        <f t="shared" si="6"/>
        <v>9333.3333333333339</v>
      </c>
      <c r="M22" s="9">
        <f t="shared" si="7"/>
        <v>1866.666666666667</v>
      </c>
      <c r="N22" s="11">
        <v>1590</v>
      </c>
      <c r="O22" s="9">
        <f t="shared" si="22"/>
        <v>1325</v>
      </c>
      <c r="P22" s="9">
        <f t="shared" si="9"/>
        <v>265</v>
      </c>
      <c r="Q22" s="11">
        <f>1600+4200</f>
        <v>5800</v>
      </c>
      <c r="R22" s="11">
        <f>1650+10905+120210-4930</f>
        <v>127835</v>
      </c>
      <c r="S22" s="11">
        <f>4930+640</f>
        <v>5570</v>
      </c>
      <c r="T22" s="9"/>
      <c r="U22" s="17">
        <f>4985+11800+48400</f>
        <v>65185</v>
      </c>
      <c r="V22" s="3"/>
    </row>
    <row r="23" spans="1:22" x14ac:dyDescent="0.3">
      <c r="A23" s="8">
        <v>45801</v>
      </c>
      <c r="B23" s="11">
        <f>57735</f>
        <v>57735</v>
      </c>
      <c r="C23" s="9">
        <f t="shared" si="19"/>
        <v>52486.363636363632</v>
      </c>
      <c r="D23" s="9">
        <f t="shared" si="1"/>
        <v>5248.636363636364</v>
      </c>
      <c r="E23" s="11">
        <v>25355</v>
      </c>
      <c r="F23" s="9">
        <f t="shared" si="20"/>
        <v>21129.166666666668</v>
      </c>
      <c r="G23" s="9">
        <f t="shared" si="3"/>
        <v>4225.8333333333339</v>
      </c>
      <c r="H23" s="11">
        <v>2985</v>
      </c>
      <c r="I23" s="9">
        <f t="shared" si="21"/>
        <v>2713.6363636363635</v>
      </c>
      <c r="J23" s="9">
        <f t="shared" si="5"/>
        <v>271.36363636363637</v>
      </c>
      <c r="K23" s="11">
        <v>6400</v>
      </c>
      <c r="L23" s="9">
        <f t="shared" si="6"/>
        <v>5333.3333333333339</v>
      </c>
      <c r="M23" s="9">
        <f t="shared" si="7"/>
        <v>1066.6666666666667</v>
      </c>
      <c r="N23" s="11">
        <v>1000</v>
      </c>
      <c r="O23" s="9">
        <f t="shared" si="22"/>
        <v>833.33333333333337</v>
      </c>
      <c r="P23" s="9">
        <f t="shared" si="9"/>
        <v>166.66666666666669</v>
      </c>
      <c r="Q23" s="9">
        <v>0</v>
      </c>
      <c r="R23" s="11">
        <f>93475</f>
        <v>93475</v>
      </c>
      <c r="S23" s="9">
        <v>0</v>
      </c>
      <c r="T23" s="9">
        <v>0</v>
      </c>
      <c r="U23" s="17">
        <f>43000+24520+22700+11600</f>
        <v>101820</v>
      </c>
      <c r="V23" s="3" t="s">
        <v>49</v>
      </c>
    </row>
    <row r="24" spans="1:22" x14ac:dyDescent="0.3">
      <c r="A24" s="8">
        <v>45802</v>
      </c>
      <c r="B24" s="11">
        <f>2525+15365+3585</f>
        <v>21475</v>
      </c>
      <c r="C24" s="9">
        <f t="shared" si="19"/>
        <v>19522.727272727272</v>
      </c>
      <c r="D24" s="9">
        <f t="shared" si="1"/>
        <v>1952.2727272727273</v>
      </c>
      <c r="E24" s="11">
        <f>1550+2145+8660</f>
        <v>12355</v>
      </c>
      <c r="F24" s="9">
        <f t="shared" si="20"/>
        <v>10295.833333333334</v>
      </c>
      <c r="G24" s="9">
        <f t="shared" si="3"/>
        <v>2059.166666666667</v>
      </c>
      <c r="H24" s="11">
        <f>85</f>
        <v>85</v>
      </c>
      <c r="I24" s="9">
        <f t="shared" si="21"/>
        <v>77.272727272727266</v>
      </c>
      <c r="J24" s="9">
        <f t="shared" si="5"/>
        <v>7.7272727272727266</v>
      </c>
      <c r="K24" s="11">
        <f>400+1000+2000</f>
        <v>3400</v>
      </c>
      <c r="L24" s="9">
        <f t="shared" si="6"/>
        <v>2833.3333333333335</v>
      </c>
      <c r="M24" s="9">
        <f t="shared" si="7"/>
        <v>566.66666666666674</v>
      </c>
      <c r="N24" s="11">
        <f>1440</f>
        <v>1440</v>
      </c>
      <c r="O24" s="9">
        <f t="shared" si="22"/>
        <v>1200</v>
      </c>
      <c r="P24" s="9">
        <f t="shared" si="9"/>
        <v>240</v>
      </c>
      <c r="Q24" s="9">
        <v>0</v>
      </c>
      <c r="R24" s="11">
        <f>6000+18510+14245</f>
        <v>38755</v>
      </c>
      <c r="S24" s="9">
        <v>0</v>
      </c>
      <c r="T24" s="9">
        <v>0</v>
      </c>
      <c r="U24" s="17">
        <v>14545</v>
      </c>
      <c r="V24" s="3"/>
    </row>
    <row r="25" spans="1:22" x14ac:dyDescent="0.3">
      <c r="A25" s="8">
        <v>45804</v>
      </c>
      <c r="B25" s="11">
        <f>52432.02+500</f>
        <v>52932.02</v>
      </c>
      <c r="C25" s="9">
        <f t="shared" si="19"/>
        <v>48120.018181818174</v>
      </c>
      <c r="D25" s="9">
        <f t="shared" si="1"/>
        <v>4812.0018181818177</v>
      </c>
      <c r="E25" s="11">
        <f>15281.33+5400+3100</f>
        <v>23781.33</v>
      </c>
      <c r="F25" s="9">
        <f t="shared" si="20"/>
        <v>19817.775000000001</v>
      </c>
      <c r="G25" s="9">
        <f t="shared" si="3"/>
        <v>3963.5550000000003</v>
      </c>
      <c r="H25" s="11">
        <f>1019.68</f>
        <v>1019.68</v>
      </c>
      <c r="I25" s="9">
        <f t="shared" si="21"/>
        <v>926.98181818181808</v>
      </c>
      <c r="J25" s="9">
        <f t="shared" si="5"/>
        <v>92.698181818181808</v>
      </c>
      <c r="K25" s="11">
        <f>6456.97+1200+400</f>
        <v>8056.97</v>
      </c>
      <c r="L25" s="9">
        <f t="shared" si="6"/>
        <v>6714.1416666666673</v>
      </c>
      <c r="M25" s="9">
        <f t="shared" si="7"/>
        <v>1342.8283333333336</v>
      </c>
      <c r="N25" s="11">
        <v>1705</v>
      </c>
      <c r="O25" s="9">
        <f t="shared" si="22"/>
        <v>1420.8333333333335</v>
      </c>
      <c r="P25" s="9">
        <f t="shared" si="9"/>
        <v>284.16666666666669</v>
      </c>
      <c r="Q25" s="9">
        <v>0</v>
      </c>
      <c r="R25" s="11">
        <f>76895-1035+7100-1050+3500</f>
        <v>85410</v>
      </c>
      <c r="S25" s="11">
        <f>1035+1050</f>
        <v>2085</v>
      </c>
      <c r="T25" s="9">
        <v>0</v>
      </c>
      <c r="U25" s="17">
        <f>18625</f>
        <v>18625</v>
      </c>
      <c r="V25" s="3" t="s">
        <v>50</v>
      </c>
    </row>
    <row r="26" spans="1:22" x14ac:dyDescent="0.3">
      <c r="A26" s="8">
        <v>45805</v>
      </c>
      <c r="B26" s="11">
        <v>27510</v>
      </c>
      <c r="C26" s="9">
        <f t="shared" si="19"/>
        <v>25009.090909090908</v>
      </c>
      <c r="D26" s="9">
        <f t="shared" si="1"/>
        <v>2500.909090909091</v>
      </c>
      <c r="E26" s="11">
        <v>7340</v>
      </c>
      <c r="F26" s="9">
        <f t="shared" si="20"/>
        <v>6116.666666666667</v>
      </c>
      <c r="G26" s="9">
        <f t="shared" si="3"/>
        <v>1223.3333333333335</v>
      </c>
      <c r="H26" s="11">
        <v>470</v>
      </c>
      <c r="I26" s="9">
        <f t="shared" si="21"/>
        <v>427.27272727272725</v>
      </c>
      <c r="J26" s="9">
        <f t="shared" si="5"/>
        <v>42.727272727272727</v>
      </c>
      <c r="K26" s="11">
        <v>2800</v>
      </c>
      <c r="L26" s="9">
        <f t="shared" si="6"/>
        <v>2333.3333333333335</v>
      </c>
      <c r="M26" s="9">
        <f t="shared" si="7"/>
        <v>466.66666666666674</v>
      </c>
      <c r="N26" s="11">
        <v>400</v>
      </c>
      <c r="O26" s="9">
        <f t="shared" si="22"/>
        <v>333.33333333333337</v>
      </c>
      <c r="P26" s="9">
        <f t="shared" si="9"/>
        <v>66.666666666666671</v>
      </c>
      <c r="Q26" s="9">
        <v>0</v>
      </c>
      <c r="R26" s="11">
        <v>38520</v>
      </c>
      <c r="S26" s="9">
        <v>0</v>
      </c>
      <c r="T26" s="9">
        <v>0</v>
      </c>
      <c r="U26" s="17">
        <v>12665</v>
      </c>
      <c r="V26" s="3"/>
    </row>
    <row r="27" spans="1:22" x14ac:dyDescent="0.3">
      <c r="A27" s="8">
        <v>45806</v>
      </c>
      <c r="B27" s="11">
        <f>12535+29110</f>
        <v>41645</v>
      </c>
      <c r="C27" s="9">
        <f t="shared" si="0"/>
        <v>37859.090909090904</v>
      </c>
      <c r="D27" s="9">
        <f t="shared" si="1"/>
        <v>3785.9090909090905</v>
      </c>
      <c r="E27" s="11">
        <f>2275+8695</f>
        <v>10970</v>
      </c>
      <c r="F27" s="9">
        <f t="shared" si="2"/>
        <v>9141.6666666666679</v>
      </c>
      <c r="G27" s="9">
        <f t="shared" si="3"/>
        <v>1828.3333333333337</v>
      </c>
      <c r="H27" s="11">
        <f>1500+1030</f>
        <v>2530</v>
      </c>
      <c r="I27" s="9">
        <f t="shared" si="4"/>
        <v>2300</v>
      </c>
      <c r="J27" s="9">
        <f t="shared" si="5"/>
        <v>230</v>
      </c>
      <c r="K27" s="11">
        <f>1800+3400</f>
        <v>5200</v>
      </c>
      <c r="L27" s="9">
        <f t="shared" si="6"/>
        <v>4333.3333333333339</v>
      </c>
      <c r="M27" s="9">
        <f t="shared" si="7"/>
        <v>866.66666666666686</v>
      </c>
      <c r="N27" s="11">
        <v>725</v>
      </c>
      <c r="O27" s="9">
        <f t="shared" si="8"/>
        <v>604.16666666666674</v>
      </c>
      <c r="P27" s="9">
        <f t="shared" si="9"/>
        <v>120.83333333333336</v>
      </c>
      <c r="Q27" s="11">
        <f>2440</f>
        <v>2440</v>
      </c>
      <c r="R27" s="11">
        <f>18110+40520-8165</f>
        <v>50465</v>
      </c>
      <c r="S27" s="11">
        <v>8165</v>
      </c>
      <c r="T27" s="9">
        <v>0</v>
      </c>
      <c r="U27" s="17">
        <f>11985+20800</f>
        <v>32785</v>
      </c>
      <c r="V27" s="3"/>
    </row>
    <row r="28" spans="1:22" x14ac:dyDescent="0.3">
      <c r="A28" s="8">
        <v>45807</v>
      </c>
      <c r="B28" s="11">
        <f>250+50950+13220+4165</f>
        <v>68585</v>
      </c>
      <c r="C28" s="9">
        <f t="shared" si="0"/>
        <v>62349.999999999993</v>
      </c>
      <c r="D28" s="9">
        <f t="shared" si="1"/>
        <v>6235</v>
      </c>
      <c r="E28" s="11">
        <f>8375+4900+19915+3990+5990</f>
        <v>43170</v>
      </c>
      <c r="F28" s="9">
        <f t="shared" si="2"/>
        <v>35975</v>
      </c>
      <c r="G28" s="9">
        <f t="shared" si="3"/>
        <v>7195</v>
      </c>
      <c r="H28" s="11">
        <f>1140+295</f>
        <v>1435</v>
      </c>
      <c r="I28" s="9">
        <f t="shared" si="4"/>
        <v>1304.5454545454545</v>
      </c>
      <c r="J28" s="9">
        <f t="shared" si="5"/>
        <v>130.45454545454547</v>
      </c>
      <c r="K28" s="11">
        <f>1800+800+4800+1600+800</f>
        <v>9800</v>
      </c>
      <c r="L28" s="9">
        <f t="shared" si="6"/>
        <v>8166.666666666667</v>
      </c>
      <c r="M28" s="9">
        <f t="shared" si="7"/>
        <v>1633.3333333333335</v>
      </c>
      <c r="N28" s="9">
        <v>0</v>
      </c>
      <c r="O28" s="9">
        <f t="shared" si="8"/>
        <v>0</v>
      </c>
      <c r="P28" s="9">
        <f t="shared" si="9"/>
        <v>0</v>
      </c>
      <c r="Q28" s="11">
        <f>850+3900</f>
        <v>4750</v>
      </c>
      <c r="R28" s="11">
        <f>9575+5700+72905-5155+19105+10955</f>
        <v>113085</v>
      </c>
      <c r="S28" s="11">
        <v>5155</v>
      </c>
      <c r="T28" s="9">
        <v>0</v>
      </c>
      <c r="U28" s="14">
        <f>6695+15935+9950</f>
        <v>32580</v>
      </c>
      <c r="V28" s="3" t="s">
        <v>51</v>
      </c>
    </row>
    <row r="29" spans="1:22" x14ac:dyDescent="0.3">
      <c r="A29" s="8">
        <v>45808</v>
      </c>
      <c r="B29" s="11">
        <f>29473.05+5375+27570.62</f>
        <v>62418.67</v>
      </c>
      <c r="C29" s="9">
        <f t="shared" si="0"/>
        <v>56744.245454545446</v>
      </c>
      <c r="D29" s="9">
        <f t="shared" si="1"/>
        <v>5674.4245454545453</v>
      </c>
      <c r="E29" s="11">
        <f>26938.56+13375+18484.61</f>
        <v>58798.17</v>
      </c>
      <c r="F29" s="9">
        <f t="shared" si="2"/>
        <v>48998.474999999999</v>
      </c>
      <c r="G29" s="9">
        <f t="shared" si="3"/>
        <v>9799.6949999999997</v>
      </c>
      <c r="H29" s="11">
        <f>565+170+609.15</f>
        <v>1344.15</v>
      </c>
      <c r="I29" s="9">
        <f t="shared" si="4"/>
        <v>1221.9545454545455</v>
      </c>
      <c r="J29" s="9">
        <f t="shared" si="5"/>
        <v>122.19545454545455</v>
      </c>
      <c r="K29" s="11">
        <f>5203.39+1800+4635.62</f>
        <v>11639.01</v>
      </c>
      <c r="L29" s="9">
        <f t="shared" si="6"/>
        <v>9699.1750000000011</v>
      </c>
      <c r="M29" s="9">
        <f t="shared" si="7"/>
        <v>1939.8350000000003</v>
      </c>
      <c r="N29" s="11">
        <f>1880+460</f>
        <v>2340</v>
      </c>
      <c r="O29" s="9">
        <f t="shared" si="8"/>
        <v>1950</v>
      </c>
      <c r="P29" s="9">
        <f t="shared" si="9"/>
        <v>390</v>
      </c>
      <c r="Q29" s="11">
        <f>1000</f>
        <v>1000</v>
      </c>
      <c r="R29" s="11">
        <f>63060-2100+20720-5540+51760</f>
        <v>127900</v>
      </c>
      <c r="S29" s="11">
        <f>2100+5540</f>
        <v>7640</v>
      </c>
      <c r="T29" s="9">
        <v>0</v>
      </c>
      <c r="U29" s="14">
        <v>0</v>
      </c>
      <c r="V29" s="3" t="s">
        <v>52</v>
      </c>
    </row>
    <row r="30" spans="1:22" x14ac:dyDescent="0.3">
      <c r="B30" s="6">
        <f>SUM(B3:B29)</f>
        <v>1390372.06</v>
      </c>
      <c r="C30" s="10">
        <f>B30/1.1</f>
        <v>1263974.5999999999</v>
      </c>
      <c r="D30" s="10">
        <f t="shared" ref="D30" si="23">C30*10/100</f>
        <v>126397.45999999998</v>
      </c>
      <c r="E30" s="6">
        <f>SUM(E3:E29)</f>
        <v>705666.24</v>
      </c>
      <c r="F30" s="10">
        <f t="shared" ref="F30" si="24">E30/1.2</f>
        <v>588055.20000000007</v>
      </c>
      <c r="G30" s="10">
        <f t="shared" ref="G30" si="25">F30*20/100</f>
        <v>117611.04000000002</v>
      </c>
      <c r="H30" s="6">
        <f>SUM(H3:H29)</f>
        <v>67128.319999999992</v>
      </c>
      <c r="I30" s="10">
        <f t="shared" ref="I30" si="26">H30/1.1</f>
        <v>61025.745454545446</v>
      </c>
      <c r="J30" s="10">
        <f t="shared" ref="J30" si="27">I30*10/100</f>
        <v>6102.5745454545449</v>
      </c>
      <c r="K30" s="6">
        <f>SUM(K3:K29)</f>
        <v>193556.88</v>
      </c>
      <c r="L30" s="10">
        <f t="shared" ref="L30" si="28">K30/1.2</f>
        <v>161297.40000000002</v>
      </c>
      <c r="M30" s="10">
        <f t="shared" ref="M30" si="29">L30*20/100</f>
        <v>32259.480000000003</v>
      </c>
      <c r="N30" s="6">
        <f>SUM(N3:N29)</f>
        <v>23800</v>
      </c>
      <c r="O30" s="10">
        <f t="shared" ref="O30" si="30">N30/1.2</f>
        <v>19833.333333333336</v>
      </c>
      <c r="P30" s="10">
        <f t="shared" ref="P30" si="31">O30*20/100</f>
        <v>3966.6666666666674</v>
      </c>
      <c r="Q30" s="6">
        <f>SUM(Q3:Q29)</f>
        <v>58986</v>
      </c>
      <c r="R30" s="6">
        <f>SUM(R3:R29)</f>
        <v>2241082.5</v>
      </c>
      <c r="S30" s="6"/>
      <c r="T30" s="6">
        <f>SUM(T3:T29)</f>
        <v>55340</v>
      </c>
      <c r="U30" s="6">
        <f>SUM(U3:U29)</f>
        <v>913340</v>
      </c>
      <c r="V30" s="3"/>
    </row>
    <row r="31" spans="1:22" x14ac:dyDescent="0.3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2" x14ac:dyDescent="0.3">
      <c r="H32" s="5"/>
    </row>
    <row r="34" spans="19:19" x14ac:dyDescent="0.3">
      <c r="S34">
        <f>86345-81360</f>
        <v>4985</v>
      </c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271EE-97A2-4A94-B105-244D73F16EAC}">
  <dimension ref="A1:V31"/>
  <sheetViews>
    <sheetView tabSelected="1" zoomScaleNormal="100" workbookViewId="0">
      <selection activeCell="L13" sqref="L13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19" width="11.6640625" customWidth="1"/>
    <col min="20" max="21" width="13.88671875" customWidth="1"/>
    <col min="22" max="22" width="32.109375" style="4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39" t="s">
        <v>8</v>
      </c>
      <c r="U1" s="40"/>
      <c r="V1" s="12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">
      <c r="A3" s="8">
        <v>45809</v>
      </c>
      <c r="B3" s="11">
        <f>29140</f>
        <v>29140</v>
      </c>
      <c r="C3" s="9">
        <f>B3/1.1</f>
        <v>26490.909090909088</v>
      </c>
      <c r="D3" s="9">
        <f>C3*0.1</f>
        <v>2649.090909090909</v>
      </c>
      <c r="E3" s="11">
        <f>5100+8695</f>
        <v>13795</v>
      </c>
      <c r="F3" s="9">
        <f>E3/1.2</f>
        <v>11495.833333333334</v>
      </c>
      <c r="G3" s="9">
        <f>F3*0.2</f>
        <v>2299.166666666667</v>
      </c>
      <c r="H3" s="11">
        <f>930+135</f>
        <v>1065</v>
      </c>
      <c r="I3" s="9">
        <f>H3/1.1</f>
        <v>968.18181818181813</v>
      </c>
      <c r="J3" s="9">
        <f>I3*0.1</f>
        <v>96.818181818181813</v>
      </c>
      <c r="K3" s="11">
        <f>2600+3600</f>
        <v>6200</v>
      </c>
      <c r="L3" s="9">
        <f>K3/1.2</f>
        <v>5166.666666666667</v>
      </c>
      <c r="M3" s="9">
        <f>L3*0.2</f>
        <v>1033.3333333333335</v>
      </c>
      <c r="N3" s="9">
        <v>0</v>
      </c>
      <c r="O3" s="9">
        <f>N3/1.2</f>
        <v>0</v>
      </c>
      <c r="P3" s="9">
        <f>O3*0.2</f>
        <v>0</v>
      </c>
      <c r="Q3" s="11">
        <v>1600</v>
      </c>
      <c r="R3" s="11">
        <f>7030+41570</f>
        <v>48600</v>
      </c>
      <c r="S3" s="9">
        <v>0</v>
      </c>
      <c r="T3" s="9">
        <v>0</v>
      </c>
      <c r="U3" s="17">
        <v>12230</v>
      </c>
      <c r="V3" s="3"/>
    </row>
    <row r="4" spans="1:22" x14ac:dyDescent="0.3">
      <c r="A4" s="8">
        <v>45811</v>
      </c>
      <c r="B4" s="11">
        <f>950+8295+20265+23050</f>
        <v>52560</v>
      </c>
      <c r="C4" s="9">
        <f t="shared" ref="C4:C24" si="0">B4/1.1</f>
        <v>47781.818181818177</v>
      </c>
      <c r="D4" s="9">
        <f t="shared" ref="D4:D26" si="1">C4*0.1</f>
        <v>4778.181818181818</v>
      </c>
      <c r="E4" s="11">
        <f>3600+7350+6220+12360</f>
        <v>29530</v>
      </c>
      <c r="F4" s="9">
        <f t="shared" ref="F4:F27" si="2">E4/1.2</f>
        <v>24608.333333333336</v>
      </c>
      <c r="G4" s="9">
        <f t="shared" ref="G4:G26" si="3">F4*0.2</f>
        <v>4921.6666666666679</v>
      </c>
      <c r="H4" s="11">
        <f>745+870</f>
        <v>1615</v>
      </c>
      <c r="I4" s="9">
        <f t="shared" ref="I4:I27" si="4">H4/1.1</f>
        <v>1468.181818181818</v>
      </c>
      <c r="J4" s="9">
        <f t="shared" ref="J4:J26" si="5">I4*0.1</f>
        <v>146.81818181818181</v>
      </c>
      <c r="K4" s="11">
        <f>600+1000+2400+4000</f>
        <v>8000</v>
      </c>
      <c r="L4" s="9">
        <f t="shared" ref="L4:L27" si="6">K4/1.2</f>
        <v>6666.666666666667</v>
      </c>
      <c r="M4" s="9">
        <f t="shared" ref="M4:M26" si="7">L4*0.2</f>
        <v>1333.3333333333335</v>
      </c>
      <c r="N4" s="11">
        <f>860+280+480</f>
        <v>1620</v>
      </c>
      <c r="O4" s="9">
        <f t="shared" ref="O4:O27" si="8">N4/1.2</f>
        <v>1350</v>
      </c>
      <c r="P4" s="9">
        <f t="shared" ref="P4:P26" si="9">O4*0.2</f>
        <v>270</v>
      </c>
      <c r="Q4" s="11">
        <v>2800</v>
      </c>
      <c r="R4" s="11">
        <f>5150+17505+29910+37960</f>
        <v>90525</v>
      </c>
      <c r="S4" s="9">
        <v>0</v>
      </c>
      <c r="T4" s="9">
        <v>0</v>
      </c>
      <c r="U4" s="17">
        <f>12340+16720</f>
        <v>29060</v>
      </c>
      <c r="V4" s="3"/>
    </row>
    <row r="5" spans="1:22" x14ac:dyDescent="0.3">
      <c r="A5" s="8">
        <v>45812</v>
      </c>
      <c r="B5" s="11">
        <f>20735+30000</f>
        <v>50735</v>
      </c>
      <c r="C5" s="9">
        <f t="shared" si="0"/>
        <v>46122.727272727272</v>
      </c>
      <c r="D5" s="9">
        <f t="shared" si="1"/>
        <v>4612.272727272727</v>
      </c>
      <c r="E5" s="11">
        <f>1850+3245+4275</f>
        <v>9370</v>
      </c>
      <c r="F5" s="9">
        <f t="shared" si="2"/>
        <v>7808.3333333333339</v>
      </c>
      <c r="G5" s="9">
        <f t="shared" si="3"/>
        <v>1561.666666666667</v>
      </c>
      <c r="H5" s="11">
        <f>425+1020+985</f>
        <v>2430</v>
      </c>
      <c r="I5" s="9">
        <f t="shared" si="4"/>
        <v>2209.090909090909</v>
      </c>
      <c r="J5" s="9">
        <f t="shared" si="5"/>
        <v>220.90909090909091</v>
      </c>
      <c r="K5" s="11">
        <f>800+1600+3200</f>
        <v>5600</v>
      </c>
      <c r="L5" s="9">
        <f t="shared" si="6"/>
        <v>4666.666666666667</v>
      </c>
      <c r="M5" s="9">
        <f t="shared" si="7"/>
        <v>933.33333333333348</v>
      </c>
      <c r="N5" s="9">
        <v>0</v>
      </c>
      <c r="O5" s="9">
        <f t="shared" si="8"/>
        <v>0</v>
      </c>
      <c r="P5" s="9">
        <f t="shared" si="9"/>
        <v>0</v>
      </c>
      <c r="Q5" s="11">
        <f>8525+2650</f>
        <v>11175</v>
      </c>
      <c r="R5" s="11">
        <f>3075+18075+35810</f>
        <v>56960</v>
      </c>
      <c r="S5" s="9">
        <v>0</v>
      </c>
      <c r="T5" s="9">
        <v>0</v>
      </c>
      <c r="U5" s="17">
        <v>22480</v>
      </c>
      <c r="V5" s="3"/>
    </row>
    <row r="6" spans="1:22" x14ac:dyDescent="0.3">
      <c r="A6" s="8">
        <v>45815</v>
      </c>
      <c r="B6" s="11">
        <f>34060+6065</f>
        <v>40125</v>
      </c>
      <c r="C6" s="9">
        <f t="shared" si="0"/>
        <v>36477.272727272728</v>
      </c>
      <c r="D6" s="9">
        <f t="shared" si="1"/>
        <v>3647.727272727273</v>
      </c>
      <c r="E6" s="11">
        <f>10040+4000</f>
        <v>14040</v>
      </c>
      <c r="F6" s="9">
        <f t="shared" si="2"/>
        <v>11700</v>
      </c>
      <c r="G6" s="9">
        <f t="shared" si="3"/>
        <v>2340</v>
      </c>
      <c r="H6" s="11">
        <f>1540+2105</f>
        <v>3645</v>
      </c>
      <c r="I6" s="9">
        <f t="shared" si="4"/>
        <v>3313.6363636363635</v>
      </c>
      <c r="J6" s="9">
        <f t="shared" si="5"/>
        <v>331.36363636363637</v>
      </c>
      <c r="K6" s="11">
        <f>4600+2400</f>
        <v>7000</v>
      </c>
      <c r="L6" s="9">
        <f t="shared" si="6"/>
        <v>5833.3333333333339</v>
      </c>
      <c r="M6" s="9">
        <f t="shared" si="7"/>
        <v>1166.6666666666667</v>
      </c>
      <c r="N6" s="9">
        <v>0</v>
      </c>
      <c r="O6" s="9">
        <f t="shared" si="8"/>
        <v>0</v>
      </c>
      <c r="P6" s="9">
        <f t="shared" si="9"/>
        <v>0</v>
      </c>
      <c r="Q6" s="11">
        <v>9050</v>
      </c>
      <c r="R6" s="11">
        <f>33900</f>
        <v>33900</v>
      </c>
      <c r="S6" s="11">
        <f>7290+14570</f>
        <v>21860</v>
      </c>
      <c r="T6" s="9">
        <v>0</v>
      </c>
      <c r="U6" s="17">
        <v>38235</v>
      </c>
      <c r="V6" s="3"/>
    </row>
    <row r="7" spans="1:22" x14ac:dyDescent="0.3">
      <c r="A7" s="8">
        <v>45816</v>
      </c>
      <c r="B7" s="11">
        <f>59105</f>
        <v>59105</v>
      </c>
      <c r="C7" s="9">
        <f t="shared" si="0"/>
        <v>53731.818181818177</v>
      </c>
      <c r="D7" s="9">
        <f t="shared" si="1"/>
        <v>5373.181818181818</v>
      </c>
      <c r="E7" s="11">
        <f>3600+600+15090+600</f>
        <v>19890</v>
      </c>
      <c r="F7" s="9">
        <f t="shared" si="2"/>
        <v>16575</v>
      </c>
      <c r="G7" s="9">
        <f t="shared" si="3"/>
        <v>3315</v>
      </c>
      <c r="H7" s="11">
        <f>425+3440+1700</f>
        <v>5565</v>
      </c>
      <c r="I7" s="9">
        <f t="shared" si="4"/>
        <v>5059.090909090909</v>
      </c>
      <c r="J7" s="9">
        <f t="shared" si="5"/>
        <v>505.90909090909093</v>
      </c>
      <c r="K7" s="11">
        <f>400+400+8600+1000</f>
        <v>10400</v>
      </c>
      <c r="L7" s="9">
        <f t="shared" si="6"/>
        <v>8666.6666666666679</v>
      </c>
      <c r="M7" s="9">
        <f t="shared" si="7"/>
        <v>1733.3333333333337</v>
      </c>
      <c r="N7" s="9">
        <v>0</v>
      </c>
      <c r="O7" s="9">
        <f t="shared" si="8"/>
        <v>0</v>
      </c>
      <c r="P7" s="9">
        <f t="shared" si="9"/>
        <v>0</v>
      </c>
      <c r="Q7" s="11">
        <f>4350</f>
        <v>4350</v>
      </c>
      <c r="R7" s="11">
        <f>4000+1425+3300+81885-900</f>
        <v>89710</v>
      </c>
      <c r="S7" s="11">
        <v>900</v>
      </c>
      <c r="T7" s="9">
        <v>0</v>
      </c>
      <c r="U7" s="17">
        <v>31970</v>
      </c>
      <c r="V7" s="3"/>
    </row>
    <row r="8" spans="1:22" x14ac:dyDescent="0.3">
      <c r="A8" s="8">
        <v>45817</v>
      </c>
      <c r="B8" s="11">
        <f>25995</f>
        <v>25995</v>
      </c>
      <c r="C8" s="9">
        <f t="shared" si="0"/>
        <v>23631.81818181818</v>
      </c>
      <c r="D8" s="9">
        <f t="shared" si="1"/>
        <v>2363.181818181818</v>
      </c>
      <c r="E8" s="11">
        <f>11421+2450</f>
        <v>13871</v>
      </c>
      <c r="F8" s="9">
        <f t="shared" si="2"/>
        <v>11559.166666666668</v>
      </c>
      <c r="G8" s="9">
        <f t="shared" si="3"/>
        <v>2311.8333333333335</v>
      </c>
      <c r="H8" s="11">
        <f>3220+1275</f>
        <v>4495</v>
      </c>
      <c r="I8" s="9">
        <f t="shared" si="4"/>
        <v>4086.363636363636</v>
      </c>
      <c r="J8" s="9">
        <f t="shared" si="5"/>
        <v>408.63636363636363</v>
      </c>
      <c r="K8" s="11">
        <f>3800+1400</f>
        <v>5200</v>
      </c>
      <c r="L8" s="9">
        <f t="shared" si="6"/>
        <v>4333.3333333333339</v>
      </c>
      <c r="M8" s="9">
        <f t="shared" si="7"/>
        <v>866.66666666666686</v>
      </c>
      <c r="N8" s="9">
        <v>0</v>
      </c>
      <c r="O8" s="9">
        <f t="shared" si="8"/>
        <v>0</v>
      </c>
      <c r="P8" s="9">
        <f t="shared" si="9"/>
        <v>0</v>
      </c>
      <c r="Q8" s="9">
        <f>0</f>
        <v>0</v>
      </c>
      <c r="R8" s="11">
        <f>36981+5125</f>
        <v>42106</v>
      </c>
      <c r="S8" s="11">
        <v>7455</v>
      </c>
      <c r="T8" s="9">
        <v>0</v>
      </c>
      <c r="U8" s="14">
        <v>0</v>
      </c>
      <c r="V8" s="3"/>
    </row>
    <row r="9" spans="1:22" x14ac:dyDescent="0.3">
      <c r="A9" s="8">
        <v>45818</v>
      </c>
      <c r="B9" s="11">
        <f>11005+32645</f>
        <v>43650</v>
      </c>
      <c r="C9" s="9">
        <f t="shared" si="0"/>
        <v>39681.818181818177</v>
      </c>
      <c r="D9" s="9">
        <f t="shared" si="1"/>
        <v>3968.181818181818</v>
      </c>
      <c r="E9" s="11">
        <f>2450+6350+14250</f>
        <v>23050</v>
      </c>
      <c r="F9" s="9">
        <f t="shared" si="2"/>
        <v>19208.333333333336</v>
      </c>
      <c r="G9" s="9">
        <f t="shared" si="3"/>
        <v>3841.6666666666674</v>
      </c>
      <c r="H9" s="11">
        <f>1400+840</f>
        <v>2240</v>
      </c>
      <c r="I9" s="9">
        <f t="shared" si="4"/>
        <v>2036.3636363636363</v>
      </c>
      <c r="J9" s="9">
        <f t="shared" si="5"/>
        <v>203.63636363636363</v>
      </c>
      <c r="K9" s="11">
        <f>400+2600+4000</f>
        <v>7000</v>
      </c>
      <c r="L9" s="9">
        <f t="shared" si="6"/>
        <v>5833.3333333333339</v>
      </c>
      <c r="M9" s="9">
        <f t="shared" si="7"/>
        <v>1166.6666666666667</v>
      </c>
      <c r="N9" s="11">
        <v>540</v>
      </c>
      <c r="O9" s="9">
        <f t="shared" si="8"/>
        <v>450</v>
      </c>
      <c r="P9" s="9">
        <f t="shared" si="9"/>
        <v>90</v>
      </c>
      <c r="Q9" s="11">
        <f>6245+9560</f>
        <v>15805</v>
      </c>
      <c r="R9" s="11">
        <f>2850+15110+42715</f>
        <v>60675</v>
      </c>
      <c r="S9" s="9">
        <v>0</v>
      </c>
      <c r="T9" s="11">
        <v>100000</v>
      </c>
      <c r="U9" s="17">
        <v>60710</v>
      </c>
      <c r="V9" s="3"/>
    </row>
    <row r="10" spans="1:22" x14ac:dyDescent="0.3">
      <c r="A10" s="8">
        <v>45819</v>
      </c>
      <c r="B10" s="11">
        <f>2795+31455</f>
        <v>34250</v>
      </c>
      <c r="C10" s="9">
        <f t="shared" si="0"/>
        <v>31136.363636363632</v>
      </c>
      <c r="D10" s="9">
        <f t="shared" si="1"/>
        <v>3113.6363636363635</v>
      </c>
      <c r="E10" s="11">
        <f>8535+1250</f>
        <v>9785</v>
      </c>
      <c r="F10" s="9">
        <f t="shared" si="2"/>
        <v>8154.166666666667</v>
      </c>
      <c r="G10" s="9">
        <f t="shared" si="3"/>
        <v>1630.8333333333335</v>
      </c>
      <c r="H10" s="11">
        <f>270+2135</f>
        <v>2405</v>
      </c>
      <c r="I10" s="9">
        <f t="shared" si="4"/>
        <v>2186.363636363636</v>
      </c>
      <c r="J10" s="9">
        <f t="shared" si="5"/>
        <v>218.63636363636363</v>
      </c>
      <c r="K10" s="11">
        <f>400+3800+400</f>
        <v>4600</v>
      </c>
      <c r="L10" s="9">
        <f t="shared" si="6"/>
        <v>3833.3333333333335</v>
      </c>
      <c r="M10" s="9">
        <f t="shared" si="7"/>
        <v>766.66666666666674</v>
      </c>
      <c r="N10" s="9">
        <v>0</v>
      </c>
      <c r="O10" s="9">
        <f t="shared" si="8"/>
        <v>0</v>
      </c>
      <c r="P10" s="9">
        <f t="shared" si="9"/>
        <v>0</v>
      </c>
      <c r="Q10" s="9">
        <f>0</f>
        <v>0</v>
      </c>
      <c r="R10" s="11">
        <f>3465+45925+1650</f>
        <v>51040</v>
      </c>
      <c r="S10" s="9">
        <v>0</v>
      </c>
      <c r="T10" s="9">
        <v>0</v>
      </c>
      <c r="U10" s="17">
        <v>10275</v>
      </c>
      <c r="V10" s="3"/>
    </row>
    <row r="11" spans="1:22" x14ac:dyDescent="0.3">
      <c r="A11" s="8">
        <v>45820</v>
      </c>
      <c r="B11" s="11">
        <f>41115+5700+9120</f>
        <v>55935</v>
      </c>
      <c r="C11" s="9">
        <f t="shared" si="0"/>
        <v>50849.999999999993</v>
      </c>
      <c r="D11" s="9">
        <f t="shared" si="1"/>
        <v>5085</v>
      </c>
      <c r="E11" s="11">
        <f>13460+6050+3570</f>
        <v>23080</v>
      </c>
      <c r="F11" s="9">
        <f t="shared" si="2"/>
        <v>19233.333333333336</v>
      </c>
      <c r="G11" s="9">
        <f t="shared" si="3"/>
        <v>3846.6666666666674</v>
      </c>
      <c r="H11" s="11">
        <f>3560+1075</f>
        <v>4635</v>
      </c>
      <c r="I11" s="9">
        <f t="shared" si="4"/>
        <v>4213.6363636363631</v>
      </c>
      <c r="J11" s="9">
        <f t="shared" si="5"/>
        <v>421.36363636363632</v>
      </c>
      <c r="K11" s="11">
        <f>5200+2600+800</f>
        <v>8600</v>
      </c>
      <c r="L11" s="9">
        <f t="shared" si="6"/>
        <v>7166.666666666667</v>
      </c>
      <c r="M11" s="9">
        <f t="shared" si="7"/>
        <v>1433.3333333333335</v>
      </c>
      <c r="N11" s="11">
        <f>620+2729</f>
        <v>3349</v>
      </c>
      <c r="O11" s="9">
        <f t="shared" si="8"/>
        <v>2790.8333333333335</v>
      </c>
      <c r="P11" s="9">
        <f t="shared" si="9"/>
        <v>558.16666666666674</v>
      </c>
      <c r="Q11" s="11">
        <f>1600</f>
        <v>1600</v>
      </c>
      <c r="R11" s="11">
        <f>66064+13825+14110</f>
        <v>93999</v>
      </c>
      <c r="S11" s="9">
        <v>0</v>
      </c>
      <c r="T11" s="9">
        <v>0</v>
      </c>
      <c r="U11" s="17">
        <f>7620+12115</f>
        <v>19735</v>
      </c>
      <c r="V11" s="3"/>
    </row>
    <row r="12" spans="1:22" x14ac:dyDescent="0.3">
      <c r="A12" s="8">
        <v>45821</v>
      </c>
      <c r="B12" s="11">
        <f>20740.6+3890+15325</f>
        <v>39955.599999999999</v>
      </c>
      <c r="C12" s="9">
        <f t="shared" si="0"/>
        <v>36323.272727272721</v>
      </c>
      <c r="D12" s="9">
        <f t="shared" si="1"/>
        <v>3632.3272727272724</v>
      </c>
      <c r="E12" s="11">
        <f>1200+8150+950+4705</f>
        <v>15005</v>
      </c>
      <c r="F12" s="9">
        <f t="shared" si="2"/>
        <v>12504.166666666668</v>
      </c>
      <c r="G12" s="9">
        <f t="shared" si="3"/>
        <v>2500.8333333333339</v>
      </c>
      <c r="H12" s="11">
        <f>684.4+270+705</f>
        <v>1659.4</v>
      </c>
      <c r="I12" s="9">
        <f t="shared" si="4"/>
        <v>1508.5454545454545</v>
      </c>
      <c r="J12" s="9">
        <f t="shared" si="5"/>
        <v>150.85454545454544</v>
      </c>
      <c r="K12" s="11">
        <f>1600+400+1800</f>
        <v>3800</v>
      </c>
      <c r="L12" s="9">
        <f t="shared" si="6"/>
        <v>3166.666666666667</v>
      </c>
      <c r="M12" s="9">
        <f t="shared" si="7"/>
        <v>633.33333333333348</v>
      </c>
      <c r="N12" s="11">
        <v>368</v>
      </c>
      <c r="O12" s="9">
        <f t="shared" si="8"/>
        <v>306.66666666666669</v>
      </c>
      <c r="P12" s="9">
        <f t="shared" si="9"/>
        <v>61.333333333333343</v>
      </c>
      <c r="Q12" s="11">
        <f>1200+275</f>
        <v>1475</v>
      </c>
      <c r="R12" s="11">
        <f>7875+24343+4560+22535</f>
        <v>59313</v>
      </c>
      <c r="S12" s="9">
        <v>0</v>
      </c>
      <c r="T12" s="11">
        <v>7532</v>
      </c>
      <c r="U12" s="17">
        <f>28265+17450+24125+49805</f>
        <v>119645</v>
      </c>
      <c r="V12" s="3"/>
    </row>
    <row r="13" spans="1:22" x14ac:dyDescent="0.3">
      <c r="A13" s="8">
        <v>45822</v>
      </c>
      <c r="B13" s="9"/>
      <c r="C13" s="9">
        <f t="shared" si="0"/>
        <v>0</v>
      </c>
      <c r="D13" s="9">
        <f t="shared" si="1"/>
        <v>0</v>
      </c>
      <c r="E13" s="9"/>
      <c r="F13" s="9">
        <f t="shared" si="2"/>
        <v>0</v>
      </c>
      <c r="G13" s="9">
        <f t="shared" si="3"/>
        <v>0</v>
      </c>
      <c r="H13" s="9"/>
      <c r="I13" s="9">
        <f t="shared" si="4"/>
        <v>0</v>
      </c>
      <c r="J13" s="9">
        <f t="shared" si="5"/>
        <v>0</v>
      </c>
      <c r="K13" s="9"/>
      <c r="L13" s="9">
        <f t="shared" si="6"/>
        <v>0</v>
      </c>
      <c r="M13" s="9">
        <f t="shared" si="7"/>
        <v>0</v>
      </c>
      <c r="N13" s="9"/>
      <c r="O13" s="9">
        <f t="shared" si="8"/>
        <v>0</v>
      </c>
      <c r="P13" s="9">
        <f t="shared" si="9"/>
        <v>0</v>
      </c>
      <c r="Q13" s="9"/>
      <c r="R13" s="9"/>
      <c r="S13" s="9"/>
      <c r="T13" s="9"/>
      <c r="U13" s="14"/>
      <c r="V13" s="3"/>
    </row>
    <row r="14" spans="1:22" x14ac:dyDescent="0.3">
      <c r="A14" s="8">
        <v>45823</v>
      </c>
      <c r="B14" s="9"/>
      <c r="C14" s="9">
        <f t="shared" si="0"/>
        <v>0</v>
      </c>
      <c r="D14" s="9">
        <f t="shared" si="1"/>
        <v>0</v>
      </c>
      <c r="E14" s="9"/>
      <c r="F14" s="9">
        <f t="shared" si="2"/>
        <v>0</v>
      </c>
      <c r="G14" s="9">
        <f t="shared" si="3"/>
        <v>0</v>
      </c>
      <c r="H14" s="9"/>
      <c r="I14" s="9">
        <f t="shared" si="4"/>
        <v>0</v>
      </c>
      <c r="J14" s="9">
        <f t="shared" si="5"/>
        <v>0</v>
      </c>
      <c r="K14" s="9"/>
      <c r="L14" s="9">
        <f t="shared" si="6"/>
        <v>0</v>
      </c>
      <c r="M14" s="9">
        <f t="shared" si="7"/>
        <v>0</v>
      </c>
      <c r="N14" s="9"/>
      <c r="O14" s="9">
        <f t="shared" si="8"/>
        <v>0</v>
      </c>
      <c r="P14" s="9">
        <f t="shared" si="9"/>
        <v>0</v>
      </c>
      <c r="Q14" s="9"/>
      <c r="R14" s="9"/>
      <c r="S14" s="9"/>
      <c r="T14" s="9"/>
      <c r="U14" s="14"/>
      <c r="V14" s="3"/>
    </row>
    <row r="15" spans="1:22" x14ac:dyDescent="0.3">
      <c r="A15" s="8">
        <v>45824</v>
      </c>
      <c r="B15" s="9"/>
      <c r="C15" s="9">
        <f t="shared" si="0"/>
        <v>0</v>
      </c>
      <c r="D15" s="9">
        <f t="shared" si="1"/>
        <v>0</v>
      </c>
      <c r="E15" s="9"/>
      <c r="F15" s="9">
        <f t="shared" si="2"/>
        <v>0</v>
      </c>
      <c r="G15" s="9">
        <f t="shared" si="3"/>
        <v>0</v>
      </c>
      <c r="H15" s="9"/>
      <c r="I15" s="9">
        <f t="shared" si="4"/>
        <v>0</v>
      </c>
      <c r="J15" s="9">
        <f t="shared" si="5"/>
        <v>0</v>
      </c>
      <c r="K15" s="9"/>
      <c r="L15" s="9">
        <f t="shared" si="6"/>
        <v>0</v>
      </c>
      <c r="M15" s="9">
        <f t="shared" si="7"/>
        <v>0</v>
      </c>
      <c r="N15" s="9"/>
      <c r="O15" s="9">
        <f t="shared" si="8"/>
        <v>0</v>
      </c>
      <c r="P15" s="9">
        <f t="shared" si="9"/>
        <v>0</v>
      </c>
      <c r="Q15" s="9"/>
      <c r="R15" s="9"/>
      <c r="S15" s="9"/>
      <c r="T15" s="9"/>
      <c r="U15" s="14"/>
      <c r="V15" s="3"/>
    </row>
    <row r="16" spans="1:22" x14ac:dyDescent="0.3">
      <c r="A16" s="8">
        <v>45825</v>
      </c>
      <c r="B16" s="9"/>
      <c r="C16" s="9">
        <f t="shared" si="0"/>
        <v>0</v>
      </c>
      <c r="D16" s="9">
        <f t="shared" si="1"/>
        <v>0</v>
      </c>
      <c r="E16" s="9"/>
      <c r="F16" s="9">
        <f t="shared" si="2"/>
        <v>0</v>
      </c>
      <c r="G16" s="9">
        <f t="shared" si="3"/>
        <v>0</v>
      </c>
      <c r="H16" s="9"/>
      <c r="I16" s="9">
        <f t="shared" si="4"/>
        <v>0</v>
      </c>
      <c r="J16" s="9">
        <f t="shared" si="5"/>
        <v>0</v>
      </c>
      <c r="K16" s="9"/>
      <c r="L16" s="9">
        <f t="shared" si="6"/>
        <v>0</v>
      </c>
      <c r="M16" s="9">
        <f t="shared" si="7"/>
        <v>0</v>
      </c>
      <c r="N16" s="9"/>
      <c r="O16" s="9">
        <f t="shared" si="8"/>
        <v>0</v>
      </c>
      <c r="P16" s="9">
        <f t="shared" si="9"/>
        <v>0</v>
      </c>
      <c r="Q16" s="9"/>
      <c r="R16" s="9"/>
      <c r="S16" s="9"/>
      <c r="T16" s="9"/>
      <c r="U16" s="14"/>
      <c r="V16" s="3"/>
    </row>
    <row r="17" spans="1:22" x14ac:dyDescent="0.3">
      <c r="A17" s="8">
        <v>45826</v>
      </c>
      <c r="B17" s="9"/>
      <c r="C17" s="9">
        <f t="shared" si="0"/>
        <v>0</v>
      </c>
      <c r="D17" s="9">
        <f t="shared" si="1"/>
        <v>0</v>
      </c>
      <c r="E17" s="9"/>
      <c r="F17" s="9">
        <f t="shared" si="2"/>
        <v>0</v>
      </c>
      <c r="G17" s="9">
        <f t="shared" si="3"/>
        <v>0</v>
      </c>
      <c r="H17" s="9"/>
      <c r="I17" s="9">
        <f t="shared" si="4"/>
        <v>0</v>
      </c>
      <c r="J17" s="9">
        <f t="shared" si="5"/>
        <v>0</v>
      </c>
      <c r="K17" s="9"/>
      <c r="L17" s="9">
        <f t="shared" si="6"/>
        <v>0</v>
      </c>
      <c r="M17" s="9">
        <f t="shared" si="7"/>
        <v>0</v>
      </c>
      <c r="N17" s="9"/>
      <c r="O17" s="9">
        <f t="shared" si="8"/>
        <v>0</v>
      </c>
      <c r="P17" s="9">
        <f t="shared" si="9"/>
        <v>0</v>
      </c>
      <c r="Q17" s="9"/>
      <c r="R17" s="9"/>
      <c r="S17" s="9"/>
      <c r="T17" s="9"/>
      <c r="U17" s="14"/>
      <c r="V17" s="3"/>
    </row>
    <row r="18" spans="1:22" x14ac:dyDescent="0.3">
      <c r="A18" s="8">
        <v>45827</v>
      </c>
      <c r="B18" s="9"/>
      <c r="C18" s="9">
        <f t="shared" si="0"/>
        <v>0</v>
      </c>
      <c r="D18" s="9">
        <f t="shared" si="1"/>
        <v>0</v>
      </c>
      <c r="E18" s="9"/>
      <c r="F18" s="9">
        <f t="shared" ref="F18:F23" si="10">E18/1.2</f>
        <v>0</v>
      </c>
      <c r="G18" s="9">
        <f t="shared" si="3"/>
        <v>0</v>
      </c>
      <c r="H18" s="9"/>
      <c r="I18" s="9">
        <f t="shared" ref="I18:I23" si="11">H18/1.1</f>
        <v>0</v>
      </c>
      <c r="J18" s="9">
        <f t="shared" si="5"/>
        <v>0</v>
      </c>
      <c r="K18" s="9"/>
      <c r="L18" s="9">
        <f t="shared" si="6"/>
        <v>0</v>
      </c>
      <c r="M18" s="9">
        <f t="shared" si="7"/>
        <v>0</v>
      </c>
      <c r="N18" s="9"/>
      <c r="O18" s="9">
        <f t="shared" si="8"/>
        <v>0</v>
      </c>
      <c r="P18" s="9">
        <f t="shared" si="9"/>
        <v>0</v>
      </c>
      <c r="Q18" s="9"/>
      <c r="R18" s="9"/>
      <c r="S18" s="9"/>
      <c r="T18" s="9"/>
      <c r="U18" s="14"/>
      <c r="V18" s="3"/>
    </row>
    <row r="19" spans="1:22" x14ac:dyDescent="0.3">
      <c r="A19" s="8">
        <v>45828</v>
      </c>
      <c r="B19" s="9"/>
      <c r="C19" s="9">
        <f t="shared" si="0"/>
        <v>0</v>
      </c>
      <c r="D19" s="9">
        <f t="shared" si="1"/>
        <v>0</v>
      </c>
      <c r="E19" s="9"/>
      <c r="F19" s="9">
        <f t="shared" si="10"/>
        <v>0</v>
      </c>
      <c r="G19" s="9">
        <f t="shared" si="3"/>
        <v>0</v>
      </c>
      <c r="H19" s="9"/>
      <c r="I19" s="9">
        <f t="shared" si="11"/>
        <v>0</v>
      </c>
      <c r="J19" s="9">
        <f t="shared" si="5"/>
        <v>0</v>
      </c>
      <c r="K19" s="9"/>
      <c r="L19" s="9">
        <f t="shared" si="6"/>
        <v>0</v>
      </c>
      <c r="M19" s="9">
        <f t="shared" si="7"/>
        <v>0</v>
      </c>
      <c r="N19" s="9"/>
      <c r="O19" s="9">
        <f t="shared" ref="O19:O23" si="12">N19/1.2</f>
        <v>0</v>
      </c>
      <c r="P19" s="9">
        <f t="shared" si="9"/>
        <v>0</v>
      </c>
      <c r="Q19" s="9"/>
      <c r="R19" s="9"/>
      <c r="S19" s="9"/>
      <c r="T19" s="9"/>
      <c r="U19" s="14"/>
      <c r="V19" s="3"/>
    </row>
    <row r="20" spans="1:22" x14ac:dyDescent="0.3">
      <c r="A20" s="8">
        <v>45829</v>
      </c>
      <c r="B20" s="9"/>
      <c r="C20" s="9">
        <f t="shared" si="0"/>
        <v>0</v>
      </c>
      <c r="D20" s="9">
        <f t="shared" si="1"/>
        <v>0</v>
      </c>
      <c r="E20" s="9"/>
      <c r="F20" s="9">
        <f t="shared" si="10"/>
        <v>0</v>
      </c>
      <c r="G20" s="9">
        <f t="shared" si="3"/>
        <v>0</v>
      </c>
      <c r="H20" s="9"/>
      <c r="I20" s="9">
        <f t="shared" si="11"/>
        <v>0</v>
      </c>
      <c r="J20" s="9">
        <f t="shared" si="5"/>
        <v>0</v>
      </c>
      <c r="K20" s="9"/>
      <c r="L20" s="9">
        <f t="shared" si="6"/>
        <v>0</v>
      </c>
      <c r="M20" s="9">
        <f t="shared" si="7"/>
        <v>0</v>
      </c>
      <c r="N20" s="9"/>
      <c r="O20" s="9">
        <f t="shared" si="12"/>
        <v>0</v>
      </c>
      <c r="P20" s="9">
        <f t="shared" si="9"/>
        <v>0</v>
      </c>
      <c r="Q20" s="9"/>
      <c r="R20" s="9"/>
      <c r="S20" s="9"/>
      <c r="T20" s="9"/>
      <c r="U20" s="14"/>
      <c r="V20" s="3"/>
    </row>
    <row r="21" spans="1:22" x14ac:dyDescent="0.3">
      <c r="A21" s="8">
        <v>45830</v>
      </c>
      <c r="B21" s="9"/>
      <c r="C21" s="9">
        <f t="shared" si="0"/>
        <v>0</v>
      </c>
      <c r="D21" s="9">
        <f t="shared" si="1"/>
        <v>0</v>
      </c>
      <c r="E21" s="9"/>
      <c r="F21" s="9">
        <f t="shared" si="10"/>
        <v>0</v>
      </c>
      <c r="G21" s="9">
        <f t="shared" si="3"/>
        <v>0</v>
      </c>
      <c r="H21" s="9"/>
      <c r="I21" s="9">
        <f t="shared" si="11"/>
        <v>0</v>
      </c>
      <c r="J21" s="9">
        <f t="shared" si="5"/>
        <v>0</v>
      </c>
      <c r="K21" s="9"/>
      <c r="L21" s="9">
        <f t="shared" si="6"/>
        <v>0</v>
      </c>
      <c r="M21" s="9">
        <f t="shared" si="7"/>
        <v>0</v>
      </c>
      <c r="N21" s="9"/>
      <c r="O21" s="9">
        <f t="shared" si="12"/>
        <v>0</v>
      </c>
      <c r="P21" s="9">
        <f t="shared" si="9"/>
        <v>0</v>
      </c>
      <c r="Q21" s="9"/>
      <c r="R21" s="9"/>
      <c r="S21" s="9"/>
      <c r="T21" s="9"/>
      <c r="U21" s="14"/>
      <c r="V21" s="3"/>
    </row>
    <row r="22" spans="1:22" x14ac:dyDescent="0.3">
      <c r="A22" s="8">
        <v>45831</v>
      </c>
      <c r="B22" s="9"/>
      <c r="C22" s="9">
        <f t="shared" si="0"/>
        <v>0</v>
      </c>
      <c r="D22" s="9">
        <f t="shared" si="1"/>
        <v>0</v>
      </c>
      <c r="E22" s="9"/>
      <c r="F22" s="9">
        <f t="shared" si="10"/>
        <v>0</v>
      </c>
      <c r="G22" s="9">
        <f t="shared" si="3"/>
        <v>0</v>
      </c>
      <c r="H22" s="9"/>
      <c r="I22" s="9">
        <f t="shared" si="11"/>
        <v>0</v>
      </c>
      <c r="J22" s="9">
        <f t="shared" si="5"/>
        <v>0</v>
      </c>
      <c r="K22" s="9"/>
      <c r="L22" s="9">
        <f t="shared" si="6"/>
        <v>0</v>
      </c>
      <c r="M22" s="9">
        <f t="shared" si="7"/>
        <v>0</v>
      </c>
      <c r="N22" s="9"/>
      <c r="O22" s="9">
        <f t="shared" si="12"/>
        <v>0</v>
      </c>
      <c r="P22" s="9">
        <f t="shared" si="9"/>
        <v>0</v>
      </c>
      <c r="Q22" s="9"/>
      <c r="R22" s="9"/>
      <c r="S22" s="9"/>
      <c r="T22" s="9"/>
      <c r="U22" s="14"/>
      <c r="V22" s="3"/>
    </row>
    <row r="23" spans="1:22" x14ac:dyDescent="0.3">
      <c r="A23" s="8">
        <v>45832</v>
      </c>
      <c r="B23" s="9"/>
      <c r="C23" s="9">
        <f t="shared" si="0"/>
        <v>0</v>
      </c>
      <c r="D23" s="9">
        <f t="shared" si="1"/>
        <v>0</v>
      </c>
      <c r="E23" s="9"/>
      <c r="F23" s="9">
        <f t="shared" si="10"/>
        <v>0</v>
      </c>
      <c r="G23" s="9">
        <f t="shared" si="3"/>
        <v>0</v>
      </c>
      <c r="H23" s="9"/>
      <c r="I23" s="9">
        <f t="shared" si="11"/>
        <v>0</v>
      </c>
      <c r="J23" s="9">
        <f t="shared" si="5"/>
        <v>0</v>
      </c>
      <c r="K23" s="9"/>
      <c r="L23" s="9">
        <f t="shared" si="6"/>
        <v>0</v>
      </c>
      <c r="M23" s="9">
        <f t="shared" si="7"/>
        <v>0</v>
      </c>
      <c r="N23" s="9"/>
      <c r="O23" s="9">
        <f t="shared" si="12"/>
        <v>0</v>
      </c>
      <c r="P23" s="9">
        <f t="shared" si="9"/>
        <v>0</v>
      </c>
      <c r="Q23" s="9"/>
      <c r="R23" s="9"/>
      <c r="S23" s="9"/>
      <c r="T23" s="9"/>
      <c r="U23" s="14"/>
      <c r="V23" s="3"/>
    </row>
    <row r="24" spans="1:22" x14ac:dyDescent="0.3">
      <c r="A24" s="8">
        <v>45833</v>
      </c>
      <c r="B24" s="9"/>
      <c r="C24" s="9">
        <f t="shared" si="0"/>
        <v>0</v>
      </c>
      <c r="D24" s="9">
        <f t="shared" si="1"/>
        <v>0</v>
      </c>
      <c r="E24" s="9"/>
      <c r="F24" s="9">
        <f t="shared" si="2"/>
        <v>0</v>
      </c>
      <c r="G24" s="9">
        <f t="shared" si="3"/>
        <v>0</v>
      </c>
      <c r="H24" s="9"/>
      <c r="I24" s="9">
        <f t="shared" si="4"/>
        <v>0</v>
      </c>
      <c r="J24" s="9">
        <f t="shared" si="5"/>
        <v>0</v>
      </c>
      <c r="K24" s="9"/>
      <c r="L24" s="9">
        <f t="shared" si="6"/>
        <v>0</v>
      </c>
      <c r="M24" s="9">
        <f t="shared" si="7"/>
        <v>0</v>
      </c>
      <c r="N24" s="9"/>
      <c r="O24" s="9">
        <f t="shared" si="8"/>
        <v>0</v>
      </c>
      <c r="P24" s="9">
        <f t="shared" si="9"/>
        <v>0</v>
      </c>
      <c r="Q24" s="9"/>
      <c r="R24" s="9"/>
      <c r="S24" s="9"/>
      <c r="T24" s="9"/>
      <c r="U24" s="14"/>
      <c r="V24" s="3"/>
    </row>
    <row r="25" spans="1:22" x14ac:dyDescent="0.3">
      <c r="A25" s="8">
        <v>45834</v>
      </c>
      <c r="B25" s="9"/>
      <c r="C25" s="9">
        <f t="shared" ref="C25:C26" si="13">B25/1.1</f>
        <v>0</v>
      </c>
      <c r="D25" s="9">
        <f t="shared" si="1"/>
        <v>0</v>
      </c>
      <c r="E25" s="9"/>
      <c r="F25" s="9">
        <f t="shared" si="2"/>
        <v>0</v>
      </c>
      <c r="G25" s="9">
        <f t="shared" si="3"/>
        <v>0</v>
      </c>
      <c r="H25" s="9"/>
      <c r="I25" s="9">
        <f t="shared" si="4"/>
        <v>0</v>
      </c>
      <c r="J25" s="9">
        <f t="shared" si="5"/>
        <v>0</v>
      </c>
      <c r="K25" s="9"/>
      <c r="L25" s="9">
        <f t="shared" si="6"/>
        <v>0</v>
      </c>
      <c r="M25" s="9">
        <f t="shared" si="7"/>
        <v>0</v>
      </c>
      <c r="N25" s="9"/>
      <c r="O25" s="9">
        <f t="shared" si="8"/>
        <v>0</v>
      </c>
      <c r="P25" s="9">
        <f t="shared" si="9"/>
        <v>0</v>
      </c>
      <c r="Q25" s="9"/>
      <c r="R25" s="9"/>
      <c r="S25" s="9"/>
      <c r="T25" s="9"/>
      <c r="U25" s="14"/>
      <c r="V25" s="3"/>
    </row>
    <row r="26" spans="1:22" x14ac:dyDescent="0.3">
      <c r="A26" s="8">
        <v>45835</v>
      </c>
      <c r="B26" s="9"/>
      <c r="C26" s="9">
        <f t="shared" si="13"/>
        <v>0</v>
      </c>
      <c r="D26" s="9">
        <f t="shared" si="1"/>
        <v>0</v>
      </c>
      <c r="E26" s="9"/>
      <c r="F26" s="9">
        <f t="shared" si="2"/>
        <v>0</v>
      </c>
      <c r="G26" s="9">
        <f t="shared" si="3"/>
        <v>0</v>
      </c>
      <c r="H26" s="9"/>
      <c r="I26" s="9">
        <f t="shared" si="4"/>
        <v>0</v>
      </c>
      <c r="J26" s="9">
        <f t="shared" si="5"/>
        <v>0</v>
      </c>
      <c r="K26" s="9"/>
      <c r="L26" s="9">
        <f t="shared" si="6"/>
        <v>0</v>
      </c>
      <c r="M26" s="9">
        <f t="shared" si="7"/>
        <v>0</v>
      </c>
      <c r="N26" s="9"/>
      <c r="O26" s="9">
        <f t="shared" si="8"/>
        <v>0</v>
      </c>
      <c r="P26" s="9">
        <f t="shared" si="9"/>
        <v>0</v>
      </c>
      <c r="Q26" s="9"/>
      <c r="R26" s="9"/>
      <c r="S26" s="9"/>
      <c r="T26" s="9"/>
      <c r="U26" s="14"/>
      <c r="V26" s="3"/>
    </row>
    <row r="27" spans="1:22" x14ac:dyDescent="0.3">
      <c r="B27" s="6">
        <f>SUM(B3:B26)</f>
        <v>431450.6</v>
      </c>
      <c r="C27" s="10">
        <f>B27/1.1</f>
        <v>392227.81818181812</v>
      </c>
      <c r="D27" s="10">
        <f t="shared" ref="D27" si="14">C27*10/100</f>
        <v>39222.781818181815</v>
      </c>
      <c r="E27" s="6">
        <f>SUM(E3:E26)</f>
        <v>171416</v>
      </c>
      <c r="F27" s="10">
        <f t="shared" si="2"/>
        <v>142846.66666666669</v>
      </c>
      <c r="G27" s="10">
        <f t="shared" ref="G27" si="15">F27*20/100</f>
        <v>28569.333333333339</v>
      </c>
      <c r="H27" s="6">
        <f>SUM(H3:H26)</f>
        <v>29754.400000000001</v>
      </c>
      <c r="I27" s="10">
        <f t="shared" si="4"/>
        <v>27049.454545454544</v>
      </c>
      <c r="J27" s="10">
        <f t="shared" ref="J27" si="16">I27*10/100</f>
        <v>2704.9454545454541</v>
      </c>
      <c r="K27" s="6">
        <f>SUM(K3:K26)</f>
        <v>66400</v>
      </c>
      <c r="L27" s="10">
        <f t="shared" si="6"/>
        <v>55333.333333333336</v>
      </c>
      <c r="M27" s="10">
        <f t="shared" ref="M27" si="17">L27*20/100</f>
        <v>11066.666666666668</v>
      </c>
      <c r="N27" s="6">
        <f>SUM(N3:N26)</f>
        <v>5877</v>
      </c>
      <c r="O27" s="10">
        <f t="shared" si="8"/>
        <v>4897.5</v>
      </c>
      <c r="P27" s="10">
        <f t="shared" ref="P27" si="18">O27*20/100</f>
        <v>979.5</v>
      </c>
      <c r="Q27" s="6">
        <f>SUM(Q3:Q26)</f>
        <v>47855</v>
      </c>
      <c r="R27" s="6">
        <f>SUM(R3:R26)</f>
        <v>626828</v>
      </c>
      <c r="S27" s="6"/>
      <c r="T27" s="6">
        <f>SUM(T3:T26)</f>
        <v>107532</v>
      </c>
      <c r="U27" s="6">
        <f>SUM(U3:U26)</f>
        <v>344340</v>
      </c>
      <c r="V27" s="3"/>
    </row>
    <row r="28" spans="1:22" x14ac:dyDescent="0.3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</row>
    <row r="29" spans="1:22" x14ac:dyDescent="0.3">
      <c r="H29" s="5"/>
    </row>
    <row r="31" spans="1:22" x14ac:dyDescent="0.3">
      <c r="S31">
        <f>86345-81360</f>
        <v>4985</v>
      </c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7</vt:i4>
      </vt:variant>
    </vt:vector>
  </HeadingPairs>
  <TitlesOfParts>
    <vt:vector size="7" baseType="lpstr">
      <vt:lpstr>OCAK</vt:lpstr>
      <vt:lpstr>ŞUBAT</vt:lpstr>
      <vt:lpstr>MART</vt:lpstr>
      <vt:lpstr>NİSAN</vt:lpstr>
      <vt:lpstr>Sayfa1</vt:lpstr>
      <vt:lpstr>MAYIS</vt:lpstr>
      <vt:lpstr>HAZİRAN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nevin can</cp:lastModifiedBy>
  <cp:revision/>
  <cp:lastPrinted>2025-06-02T10:30:22Z</cp:lastPrinted>
  <dcterms:created xsi:type="dcterms:W3CDTF">2023-03-28T06:21:12Z</dcterms:created>
  <dcterms:modified xsi:type="dcterms:W3CDTF">2025-06-16T10:15:17Z</dcterms:modified>
  <cp:category/>
  <cp:contentStatus/>
</cp:coreProperties>
</file>